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<sst xmlns="http://schemas.openxmlformats.org/spreadsheetml/2006/main" count="744" uniqueCount="552">
  <si>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</si>
  <si>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</si>
  <si>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</si>
  <si>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</si>
  <si>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</si>
  <si>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</si>
  <si>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</si>
  <si>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</si>
  <si>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</si>
  <si>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</si>
  <si>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</si>
  <si>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</si>
  <si>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</si>
  <si>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</si>
  <si>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</si>
  <si>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</si>
  <si>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Профінансовано станом на 19.11.15</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</si>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</sst>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0" fillId="0" borderId="0" xfId="0" applyAlignment="1">
      <alignment/>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56"/>
      <c r="C1" s="256"/>
      <c r="D1" s="256"/>
      <c r="E1" s="256"/>
      <c r="F1" s="256"/>
      <c r="G1" s="256"/>
      <c r="H1" s="256"/>
      <c r="I1" s="256"/>
      <c r="J1" s="256"/>
      <c r="K1" s="256"/>
      <c r="L1" s="256"/>
      <c r="M1" s="256"/>
      <c r="N1" s="256"/>
      <c r="O1" s="256"/>
      <c r="P1" s="256"/>
      <c r="Q1" s="256"/>
      <c r="R1" s="256"/>
      <c r="S1" s="256"/>
      <c r="T1" s="256"/>
      <c r="U1" s="256"/>
      <c r="V1" s="256"/>
      <c r="W1" s="256"/>
    </row>
    <row r="2" spans="1:24" s="42" customFormat="1" ht="66" customHeight="1">
      <c r="A2" s="48"/>
      <c r="B2" s="48"/>
      <c r="C2" s="2"/>
      <c r="D2" s="48"/>
      <c r="E2" s="48"/>
      <c r="F2" s="48"/>
      <c r="G2" s="46"/>
      <c r="H2" s="1"/>
      <c r="I2" s="1"/>
      <c r="J2" s="1"/>
      <c r="K2" s="1"/>
      <c r="L2" s="1"/>
      <c r="M2" s="1"/>
      <c r="N2" s="46"/>
      <c r="O2" s="1"/>
      <c r="P2" s="1"/>
      <c r="Q2" s="1"/>
      <c r="R2" s="1"/>
      <c r="S2" s="257" t="s">
        <v>148</v>
      </c>
      <c r="T2" s="257"/>
      <c r="U2" s="257"/>
      <c r="V2" s="257"/>
      <c r="W2" s="257"/>
      <c r="X2" s="257"/>
    </row>
    <row r="3" spans="1:23" s="4" customFormat="1" ht="45" customHeight="1">
      <c r="A3" s="48"/>
      <c r="B3" s="258" t="s">
        <v>417</v>
      </c>
      <c r="C3" s="258"/>
      <c r="D3" s="259"/>
      <c r="E3" s="259"/>
      <c r="F3" s="259"/>
      <c r="G3" s="259"/>
      <c r="H3" s="259"/>
      <c r="I3" s="259"/>
      <c r="J3" s="259"/>
      <c r="K3" s="259"/>
      <c r="L3" s="259"/>
      <c r="M3" s="259"/>
      <c r="N3" s="259"/>
      <c r="O3" s="259"/>
      <c r="P3" s="259"/>
      <c r="Q3" s="259"/>
      <c r="R3" s="259"/>
      <c r="S3" s="259"/>
      <c r="T3" s="259"/>
      <c r="U3" s="259"/>
      <c r="V3" s="259"/>
      <c r="W3" s="259"/>
    </row>
    <row r="4" spans="1:23" s="42" customFormat="1" ht="18.75">
      <c r="A4" s="5"/>
      <c r="B4" s="15"/>
      <c r="C4" s="113"/>
      <c r="D4" s="61"/>
      <c r="E4" s="61"/>
      <c r="F4" s="61"/>
      <c r="G4" s="47"/>
      <c r="H4" s="6"/>
      <c r="I4" s="62"/>
      <c r="J4" s="62"/>
      <c r="K4" s="62"/>
      <c r="L4" s="61"/>
      <c r="M4" s="61"/>
      <c r="N4" s="3"/>
      <c r="O4" s="7"/>
      <c r="P4" s="7"/>
      <c r="Q4" s="7"/>
      <c r="R4" s="7"/>
      <c r="S4" s="7"/>
      <c r="T4" s="7"/>
      <c r="U4" s="7"/>
      <c r="V4" s="7"/>
      <c r="W4" s="78" t="s">
        <v>280</v>
      </c>
    </row>
    <row r="5" spans="1:23" s="42" customFormat="1" ht="21.75" customHeight="1">
      <c r="A5" s="63"/>
      <c r="B5" s="260" t="s">
        <v>338</v>
      </c>
      <c r="C5" s="240" t="s">
        <v>418</v>
      </c>
      <c r="D5" s="240" t="s">
        <v>277</v>
      </c>
      <c r="E5" s="263" t="s">
        <v>268</v>
      </c>
      <c r="F5" s="264" t="s">
        <v>436</v>
      </c>
      <c r="G5" s="249" t="s">
        <v>259</v>
      </c>
      <c r="H5" s="249"/>
      <c r="I5" s="249"/>
      <c r="J5" s="249"/>
      <c r="K5" s="249"/>
      <c r="L5" s="249"/>
      <c r="M5" s="249"/>
      <c r="N5" s="251" t="s">
        <v>260</v>
      </c>
      <c r="O5" s="252"/>
      <c r="P5" s="252"/>
      <c r="Q5" s="252"/>
      <c r="R5" s="252"/>
      <c r="S5" s="252"/>
      <c r="T5" s="252"/>
      <c r="U5" s="252"/>
      <c r="V5" s="253"/>
      <c r="W5" s="250" t="s">
        <v>261</v>
      </c>
    </row>
    <row r="6" spans="1:23" s="42" customFormat="1" ht="16.5" customHeight="1">
      <c r="A6" s="64"/>
      <c r="B6" s="261"/>
      <c r="C6" s="241"/>
      <c r="D6" s="241"/>
      <c r="E6" s="263"/>
      <c r="F6" s="243"/>
      <c r="G6" s="265" t="s">
        <v>262</v>
      </c>
      <c r="H6" s="244" t="s">
        <v>263</v>
      </c>
      <c r="I6" s="243" t="s">
        <v>264</v>
      </c>
      <c r="J6" s="243"/>
      <c r="K6" s="243"/>
      <c r="L6" s="243"/>
      <c r="M6" s="244" t="s">
        <v>265</v>
      </c>
      <c r="N6" s="254" t="s">
        <v>262</v>
      </c>
      <c r="O6" s="244" t="s">
        <v>263</v>
      </c>
      <c r="P6" s="243" t="s">
        <v>264</v>
      </c>
      <c r="Q6" s="243"/>
      <c r="R6" s="243"/>
      <c r="S6" s="243"/>
      <c r="T6" s="244" t="s">
        <v>265</v>
      </c>
      <c r="U6" s="245" t="s">
        <v>264</v>
      </c>
      <c r="V6" s="246"/>
      <c r="W6" s="250"/>
    </row>
    <row r="7" spans="1:23" s="42" customFormat="1" ht="20.25" customHeight="1">
      <c r="A7" s="65"/>
      <c r="B7" s="261"/>
      <c r="C7" s="241"/>
      <c r="D7" s="241"/>
      <c r="E7" s="263"/>
      <c r="F7" s="243"/>
      <c r="G7" s="265"/>
      <c r="H7" s="244"/>
      <c r="I7" s="243" t="s">
        <v>341</v>
      </c>
      <c r="J7" s="247" t="s">
        <v>126</v>
      </c>
      <c r="K7" s="247" t="s">
        <v>127</v>
      </c>
      <c r="L7" s="243" t="s">
        <v>266</v>
      </c>
      <c r="M7" s="244"/>
      <c r="N7" s="254"/>
      <c r="O7" s="244"/>
      <c r="P7" s="243" t="s">
        <v>341</v>
      </c>
      <c r="Q7" s="247" t="s">
        <v>126</v>
      </c>
      <c r="R7" s="247" t="s">
        <v>127</v>
      </c>
      <c r="S7" s="243" t="s">
        <v>266</v>
      </c>
      <c r="T7" s="244"/>
      <c r="U7" s="243" t="s">
        <v>273</v>
      </c>
      <c r="V7" s="34" t="s">
        <v>264</v>
      </c>
      <c r="W7" s="250"/>
    </row>
    <row r="8" spans="1:23" s="42" customFormat="1" ht="114.75" customHeight="1">
      <c r="A8" s="66"/>
      <c r="B8" s="262"/>
      <c r="C8" s="242"/>
      <c r="D8" s="242"/>
      <c r="E8" s="263"/>
      <c r="F8" s="243"/>
      <c r="G8" s="265"/>
      <c r="H8" s="244"/>
      <c r="I8" s="243"/>
      <c r="J8" s="248"/>
      <c r="K8" s="248"/>
      <c r="L8" s="243"/>
      <c r="M8" s="244"/>
      <c r="N8" s="254"/>
      <c r="O8" s="244"/>
      <c r="P8" s="243"/>
      <c r="Q8" s="248"/>
      <c r="R8" s="248"/>
      <c r="S8" s="243"/>
      <c r="T8" s="244"/>
      <c r="U8" s="243"/>
      <c r="V8" s="34" t="s">
        <v>130</v>
      </c>
      <c r="W8" s="250"/>
    </row>
    <row r="9" spans="1:23" s="68" customFormat="1" ht="28.5" customHeight="1">
      <c r="A9" s="67"/>
      <c r="B9" s="16" t="s">
        <v>271</v>
      </c>
      <c r="C9" s="21" t="s">
        <v>419</v>
      </c>
      <c r="D9" s="21"/>
      <c r="E9" s="21"/>
      <c r="F9" s="22" t="s">
        <v>281</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271</v>
      </c>
      <c r="C10" s="21" t="s">
        <v>420</v>
      </c>
      <c r="D10" s="21"/>
      <c r="E10" s="21"/>
      <c r="F10" s="22" t="s">
        <v>281</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278</v>
      </c>
      <c r="C11" s="17" t="s">
        <v>421</v>
      </c>
      <c r="D11" s="17" t="s">
        <v>272</v>
      </c>
      <c r="E11" s="17" t="s">
        <v>267</v>
      </c>
      <c r="F11" s="12" t="s">
        <v>486</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269</v>
      </c>
      <c r="C12" s="17" t="s">
        <v>423</v>
      </c>
      <c r="D12" s="17" t="s">
        <v>286</v>
      </c>
      <c r="E12" s="17" t="s">
        <v>342</v>
      </c>
      <c r="F12" s="20" t="s">
        <v>488</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422</v>
      </c>
      <c r="D13" s="17" t="s">
        <v>285</v>
      </c>
      <c r="E13" s="17" t="s">
        <v>340</v>
      </c>
      <c r="F13" s="20" t="s">
        <v>487</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387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424</v>
      </c>
      <c r="D15" s="17" t="s">
        <v>343</v>
      </c>
      <c r="E15" s="17" t="s">
        <v>344</v>
      </c>
      <c r="F15" s="20" t="s">
        <v>489</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425</v>
      </c>
      <c r="D17" s="17" t="s">
        <v>290</v>
      </c>
      <c r="E17" s="17" t="s">
        <v>345</v>
      </c>
      <c r="F17" s="20" t="s">
        <v>320</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373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374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375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376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544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377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426</v>
      </c>
      <c r="D24" s="21"/>
      <c r="E24" s="21"/>
      <c r="F24" s="22" t="s">
        <v>427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428</v>
      </c>
      <c r="D25" s="21"/>
      <c r="E25" s="21"/>
      <c r="F25" s="22" t="s">
        <v>427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278</v>
      </c>
      <c r="C26" s="17" t="s">
        <v>429</v>
      </c>
      <c r="D26" s="17" t="s">
        <v>272</v>
      </c>
      <c r="E26" s="17" t="s">
        <v>267</v>
      </c>
      <c r="F26" s="12" t="s">
        <v>486</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430</v>
      </c>
      <c r="D27" s="21"/>
      <c r="E27" s="21"/>
      <c r="F27" s="22" t="s">
        <v>291</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430</v>
      </c>
      <c r="D28" s="21"/>
      <c r="E28" s="21"/>
      <c r="F28" s="22" t="s">
        <v>291</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278</v>
      </c>
      <c r="C29" s="17" t="s">
        <v>431</v>
      </c>
      <c r="D29" s="17" t="s">
        <v>272</v>
      </c>
      <c r="E29" s="17" t="s">
        <v>267</v>
      </c>
      <c r="F29" s="12" t="s">
        <v>486</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432</v>
      </c>
      <c r="D30" s="16" t="s">
        <v>292</v>
      </c>
      <c r="E30" s="16"/>
      <c r="F30" s="10" t="s">
        <v>293</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228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229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230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433</v>
      </c>
      <c r="D34" s="17" t="s">
        <v>294</v>
      </c>
      <c r="E34" s="17" t="s">
        <v>346</v>
      </c>
      <c r="F34" s="20" t="s">
        <v>490</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227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295</v>
      </c>
      <c r="E36" s="17" t="s">
        <v>347</v>
      </c>
      <c r="F36" s="20" t="s">
        <v>491</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228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229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230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296</v>
      </c>
      <c r="E40" s="17" t="s">
        <v>348</v>
      </c>
      <c r="F40" s="20" t="s">
        <v>492</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231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282</v>
      </c>
      <c r="E42" s="17" t="s">
        <v>346</v>
      </c>
      <c r="F42" s="20" t="s">
        <v>42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297</v>
      </c>
      <c r="E43" s="17" t="s">
        <v>43</v>
      </c>
      <c r="F43" s="20" t="s">
        <v>44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298</v>
      </c>
      <c r="E44" s="17" t="s">
        <v>45</v>
      </c>
      <c r="F44" s="20" t="s">
        <v>493</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299</v>
      </c>
      <c r="E45" s="17" t="s">
        <v>46</v>
      </c>
      <c r="F45" s="20" t="s">
        <v>494</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300</v>
      </c>
      <c r="E46" s="17" t="s">
        <v>47</v>
      </c>
      <c r="F46" s="20" t="s">
        <v>495</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301</v>
      </c>
      <c r="E47" s="17" t="s">
        <v>47</v>
      </c>
      <c r="F47" s="20" t="s">
        <v>496</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302</v>
      </c>
      <c r="E48" s="17" t="s">
        <v>48</v>
      </c>
      <c r="F48" s="20" t="s">
        <v>497</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303</v>
      </c>
      <c r="E49" s="17" t="s">
        <v>48</v>
      </c>
      <c r="F49" s="20" t="s">
        <v>498</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304</v>
      </c>
      <c r="E50" s="17" t="s">
        <v>48</v>
      </c>
      <c r="F50" s="20" t="s">
        <v>499</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283</v>
      </c>
      <c r="E51" s="16"/>
      <c r="F51" s="10" t="s">
        <v>284</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49</v>
      </c>
      <c r="E52" s="17" t="s">
        <v>50</v>
      </c>
      <c r="F52" s="20" t="s">
        <v>500</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51</v>
      </c>
      <c r="E53" s="17" t="s">
        <v>50</v>
      </c>
      <c r="F53" s="20" t="s">
        <v>501</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52</v>
      </c>
      <c r="E54" s="17" t="s">
        <v>50</v>
      </c>
      <c r="F54" s="20" t="s">
        <v>502</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54</v>
      </c>
      <c r="E55" s="17" t="s">
        <v>50</v>
      </c>
      <c r="F55" s="20" t="s">
        <v>503</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53</v>
      </c>
      <c r="E56" s="17" t="s">
        <v>50</v>
      </c>
      <c r="F56" s="20" t="s">
        <v>320</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305</v>
      </c>
      <c r="E57" s="16"/>
      <c r="F57" s="10" t="s">
        <v>55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56</v>
      </c>
      <c r="E58" s="17" t="s">
        <v>59</v>
      </c>
      <c r="F58" s="20" t="s">
        <v>306</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57</v>
      </c>
      <c r="E59" s="17" t="s">
        <v>60</v>
      </c>
      <c r="F59" s="20" t="s">
        <v>504</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58</v>
      </c>
      <c r="E60" s="17" t="s">
        <v>62</v>
      </c>
      <c r="F60" s="20" t="s">
        <v>61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286</v>
      </c>
      <c r="E61" s="17" t="s">
        <v>63</v>
      </c>
      <c r="F61" s="20" t="s">
        <v>64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307</v>
      </c>
      <c r="E62" s="16"/>
      <c r="F62" s="10" t="s">
        <v>308</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65</v>
      </c>
      <c r="E63" s="17" t="s">
        <v>69</v>
      </c>
      <c r="F63" s="20" t="s">
        <v>505</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66</v>
      </c>
      <c r="E64" s="17" t="s">
        <v>69</v>
      </c>
      <c r="F64" s="20" t="s">
        <v>506</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67</v>
      </c>
      <c r="E65" s="17" t="s">
        <v>69</v>
      </c>
      <c r="F65" s="20" t="s">
        <v>507</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68</v>
      </c>
      <c r="E66" s="17" t="s">
        <v>69</v>
      </c>
      <c r="F66" s="20" t="s">
        <v>508</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287</v>
      </c>
      <c r="E67" s="16"/>
      <c r="F67" s="10" t="s">
        <v>288</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275</v>
      </c>
      <c r="E68" s="17" t="s">
        <v>276</v>
      </c>
      <c r="F68" s="20" t="s">
        <v>509</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309</v>
      </c>
      <c r="E69" s="17" t="s">
        <v>347</v>
      </c>
      <c r="F69" s="20" t="s">
        <v>208</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310</v>
      </c>
      <c r="E70" s="17" t="s">
        <v>62</v>
      </c>
      <c r="F70" s="20" t="s">
        <v>209</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289</v>
      </c>
      <c r="E71" s="16" t="s">
        <v>276</v>
      </c>
      <c r="F71" s="10" t="s">
        <v>70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221</v>
      </c>
      <c r="E72" s="16" t="s">
        <v>274</v>
      </c>
      <c r="F72" s="10" t="s">
        <v>210</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290</v>
      </c>
      <c r="E73" s="16" t="s">
        <v>345</v>
      </c>
      <c r="F73" s="10" t="s">
        <v>320</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220</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437</v>
      </c>
      <c r="D75" s="21"/>
      <c r="E75" s="21"/>
      <c r="F75" s="22" t="s">
        <v>311</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438</v>
      </c>
      <c r="D76" s="21"/>
      <c r="E76" s="21"/>
      <c r="F76" s="22" t="s">
        <v>434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278</v>
      </c>
      <c r="C77" s="17" t="s">
        <v>439</v>
      </c>
      <c r="D77" s="17" t="s">
        <v>272</v>
      </c>
      <c r="E77" s="17" t="s">
        <v>267</v>
      </c>
      <c r="F77" s="12" t="s">
        <v>486</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312</v>
      </c>
      <c r="E78" s="16"/>
      <c r="F78" s="10" t="s">
        <v>339</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226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144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313</v>
      </c>
      <c r="E81" s="17" t="s">
        <v>71</v>
      </c>
      <c r="F81" s="20" t="s">
        <v>211</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232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144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314</v>
      </c>
      <c r="E84" s="17" t="s">
        <v>72</v>
      </c>
      <c r="F84" s="20" t="s">
        <v>212</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232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315</v>
      </c>
      <c r="E86" s="17" t="s">
        <v>73</v>
      </c>
      <c r="F86" s="20" t="s">
        <v>213</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232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317</v>
      </c>
      <c r="E88" s="17" t="s">
        <v>74</v>
      </c>
      <c r="F88" s="20" t="s">
        <v>214</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232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318</v>
      </c>
      <c r="E90" s="17" t="s">
        <v>75</v>
      </c>
      <c r="F90" s="20" t="s">
        <v>215</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232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393</v>
      </c>
      <c r="E92" s="17"/>
      <c r="F92" s="20" t="s">
        <v>531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155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287</v>
      </c>
      <c r="E94" s="16"/>
      <c r="F94" s="10" t="s">
        <v>288</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76</v>
      </c>
      <c r="E95" s="17" t="s">
        <v>71</v>
      </c>
      <c r="F95" s="20" t="s">
        <v>216</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290</v>
      </c>
      <c r="E96" s="16" t="s">
        <v>345</v>
      </c>
      <c r="F96" s="10" t="s">
        <v>320</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319</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440</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278</v>
      </c>
      <c r="C99" s="17" t="s">
        <v>441</v>
      </c>
      <c r="D99" s="17" t="s">
        <v>272</v>
      </c>
      <c r="E99" s="17" t="s">
        <v>267</v>
      </c>
      <c r="F99" s="12" t="s">
        <v>486</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442</v>
      </c>
      <c r="D100" s="17" t="s">
        <v>282</v>
      </c>
      <c r="E100" s="17" t="s">
        <v>233</v>
      </c>
      <c r="F100" s="12" t="s">
        <v>217</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389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283</v>
      </c>
      <c r="E102" s="16"/>
      <c r="F102" s="10" t="s">
        <v>284</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389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155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388</v>
      </c>
      <c r="E105" s="69" t="s">
        <v>234</v>
      </c>
      <c r="F105" s="70" t="s">
        <v>218</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389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391</v>
      </c>
      <c r="E107" s="115">
        <v>1030</v>
      </c>
      <c r="F107" s="44" t="s">
        <v>529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389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392</v>
      </c>
      <c r="E109" s="69" t="s">
        <v>235</v>
      </c>
      <c r="F109" s="116" t="s">
        <v>530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389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395</v>
      </c>
      <c r="E111" s="71">
        <v>1070</v>
      </c>
      <c r="F111" s="43" t="s">
        <v>532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389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405</v>
      </c>
      <c r="E113" s="71">
        <v>1060</v>
      </c>
      <c r="F113" s="43" t="s">
        <v>542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389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407</v>
      </c>
      <c r="E115" s="71">
        <v>1060</v>
      </c>
      <c r="F115" s="43" t="s">
        <v>408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389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390</v>
      </c>
      <c r="E117" s="72"/>
      <c r="F117" s="43" t="s">
        <v>219</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389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396</v>
      </c>
      <c r="E119" s="71">
        <v>1070</v>
      </c>
      <c r="F119" s="43" t="s">
        <v>533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389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406</v>
      </c>
      <c r="E121" s="71">
        <v>1060</v>
      </c>
      <c r="F121" s="43" t="s">
        <v>543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389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412</v>
      </c>
      <c r="E123" s="71">
        <v>1060</v>
      </c>
      <c r="F123" s="43" t="s">
        <v>413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389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132</v>
      </c>
      <c r="E125" s="72"/>
      <c r="F125" s="43" t="s">
        <v>133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389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134</v>
      </c>
      <c r="E127" s="72"/>
      <c r="F127" s="43" t="s">
        <v>135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389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136</v>
      </c>
      <c r="E129" s="72"/>
      <c r="F129" s="43" t="s">
        <v>137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389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397</v>
      </c>
      <c r="E131" s="71" t="s">
        <v>236</v>
      </c>
      <c r="F131" s="43" t="s">
        <v>534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389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398</v>
      </c>
      <c r="E133" s="71" t="s">
        <v>236</v>
      </c>
      <c r="F133" s="43" t="s">
        <v>535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389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399</v>
      </c>
      <c r="E135" s="71" t="s">
        <v>236</v>
      </c>
      <c r="F135" s="43" t="s">
        <v>536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389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400</v>
      </c>
      <c r="E137" s="71" t="s">
        <v>236</v>
      </c>
      <c r="F137" s="43" t="s">
        <v>537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389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401</v>
      </c>
      <c r="E139" s="73"/>
      <c r="F139" s="43" t="s">
        <v>538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389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402</v>
      </c>
      <c r="E141" s="71" t="s">
        <v>236</v>
      </c>
      <c r="F141" s="43" t="s">
        <v>539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389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403</v>
      </c>
      <c r="E143" s="71" t="s">
        <v>236</v>
      </c>
      <c r="F143" s="43" t="s">
        <v>540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389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404</v>
      </c>
      <c r="E145" s="71" t="s">
        <v>236</v>
      </c>
      <c r="F145" s="43" t="s">
        <v>541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389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152</v>
      </c>
      <c r="E147" s="71" t="s">
        <v>117</v>
      </c>
      <c r="F147" s="43" t="s">
        <v>2</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389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393</v>
      </c>
      <c r="E149" s="71" t="s">
        <v>235</v>
      </c>
      <c r="F149" s="45" t="s">
        <v>531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394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411</v>
      </c>
      <c r="E151" s="71" t="s">
        <v>117</v>
      </c>
      <c r="F151" s="43" t="s">
        <v>547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389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414</v>
      </c>
      <c r="E153" s="71" t="s">
        <v>234</v>
      </c>
      <c r="F153" s="43" t="s">
        <v>548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394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415</v>
      </c>
      <c r="E155" s="71" t="s">
        <v>118</v>
      </c>
      <c r="F155" s="75" t="s">
        <v>549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416</v>
      </c>
      <c r="E156" s="71" t="s">
        <v>117</v>
      </c>
      <c r="F156" s="43" t="s">
        <v>550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153</v>
      </c>
      <c r="E157" s="71" t="s">
        <v>117</v>
      </c>
      <c r="F157" s="43" t="s">
        <v>3</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394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154</v>
      </c>
      <c r="E159" s="71" t="s">
        <v>117</v>
      </c>
      <c r="F159" s="43" t="s">
        <v>4</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394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150</v>
      </c>
      <c r="E161" s="71">
        <v>1060</v>
      </c>
      <c r="F161" s="76" t="s">
        <v>0</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151</v>
      </c>
      <c r="E162" s="71" t="s">
        <v>234</v>
      </c>
      <c r="F162" s="76" t="s">
        <v>1</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409</v>
      </c>
      <c r="E163" s="71" t="s">
        <v>116</v>
      </c>
      <c r="F163" s="43" t="s">
        <v>410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394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443</v>
      </c>
      <c r="D165" s="23"/>
      <c r="E165" s="23"/>
      <c r="F165" s="22" t="s">
        <v>321</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444</v>
      </c>
      <c r="D166" s="23"/>
      <c r="E166" s="23"/>
      <c r="F166" s="22" t="s">
        <v>321</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278</v>
      </c>
      <c r="C167" s="17" t="s">
        <v>445</v>
      </c>
      <c r="D167" s="17" t="s">
        <v>272</v>
      </c>
      <c r="E167" s="17" t="s">
        <v>267</v>
      </c>
      <c r="F167" s="12" t="s">
        <v>486</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141</v>
      </c>
      <c r="D168" s="17" t="s">
        <v>138</v>
      </c>
      <c r="E168" s="17"/>
      <c r="F168" s="12" t="s">
        <v>140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389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142</v>
      </c>
      <c r="D170" s="17" t="s">
        <v>139</v>
      </c>
      <c r="E170" s="17"/>
      <c r="F170" s="12" t="s">
        <v>143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389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446</v>
      </c>
      <c r="D172" s="16" t="s">
        <v>77</v>
      </c>
      <c r="E172" s="16"/>
      <c r="F172" s="13" t="s">
        <v>78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447</v>
      </c>
      <c r="D173" s="17" t="s">
        <v>322</v>
      </c>
      <c r="E173" s="17" t="s">
        <v>81</v>
      </c>
      <c r="F173" s="12" t="s">
        <v>5</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323</v>
      </c>
      <c r="E174" s="17" t="s">
        <v>81</v>
      </c>
      <c r="F174" s="12" t="s">
        <v>82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448</v>
      </c>
      <c r="D175" s="17" t="s">
        <v>79</v>
      </c>
      <c r="E175" s="17" t="s">
        <v>83</v>
      </c>
      <c r="F175" s="12" t="s">
        <v>6</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449</v>
      </c>
      <c r="D176" s="17" t="s">
        <v>80</v>
      </c>
      <c r="E176" s="17" t="s">
        <v>83</v>
      </c>
      <c r="F176" s="12" t="s">
        <v>131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287</v>
      </c>
      <c r="E177" s="16"/>
      <c r="F177" s="10" t="s">
        <v>288</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275</v>
      </c>
      <c r="E178" s="17" t="s">
        <v>119</v>
      </c>
      <c r="F178" s="20" t="s">
        <v>509</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450</v>
      </c>
      <c r="D179" s="16" t="s">
        <v>84</v>
      </c>
      <c r="E179" s="16"/>
      <c r="F179" s="13" t="s">
        <v>85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451</v>
      </c>
      <c r="D180" s="17" t="s">
        <v>86</v>
      </c>
      <c r="E180" s="17" t="s">
        <v>87</v>
      </c>
      <c r="F180" s="12" t="s">
        <v>324</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452</v>
      </c>
      <c r="D181" s="17" t="s">
        <v>546</v>
      </c>
      <c r="E181" s="17" t="s">
        <v>120</v>
      </c>
      <c r="F181" s="12" t="s">
        <v>222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453</v>
      </c>
      <c r="D182" s="16" t="s">
        <v>325</v>
      </c>
      <c r="E182" s="16"/>
      <c r="F182" s="13" t="s">
        <v>223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454</v>
      </c>
      <c r="D183" s="17" t="s">
        <v>326</v>
      </c>
      <c r="E183" s="17" t="s">
        <v>88</v>
      </c>
      <c r="F183" s="12" t="s">
        <v>7</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378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455</v>
      </c>
      <c r="D185" s="17" t="s">
        <v>327</v>
      </c>
      <c r="E185" s="17" t="s">
        <v>88</v>
      </c>
      <c r="F185" s="12" t="s">
        <v>8</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379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456</v>
      </c>
      <c r="D187" s="16" t="s">
        <v>89</v>
      </c>
      <c r="E187" s="16"/>
      <c r="F187" s="13" t="s">
        <v>258</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457</v>
      </c>
      <c r="D188" s="17" t="s">
        <v>328</v>
      </c>
      <c r="E188" s="17" t="s">
        <v>90</v>
      </c>
      <c r="F188" s="12" t="s">
        <v>9</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458</v>
      </c>
      <c r="D189" s="17" t="s">
        <v>329</v>
      </c>
      <c r="E189" s="17" t="s">
        <v>91</v>
      </c>
      <c r="F189" s="12" t="s">
        <v>330</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459</v>
      </c>
      <c r="D190" s="17" t="s">
        <v>331</v>
      </c>
      <c r="E190" s="17" t="s">
        <v>92</v>
      </c>
      <c r="F190" s="12" t="s">
        <v>93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460</v>
      </c>
      <c r="D191" s="17" t="s">
        <v>332</v>
      </c>
      <c r="E191" s="17" t="s">
        <v>95</v>
      </c>
      <c r="F191" s="12" t="s">
        <v>94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461</v>
      </c>
      <c r="D192" s="21"/>
      <c r="E192" s="21"/>
      <c r="F192" s="22" t="s">
        <v>333</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462</v>
      </c>
      <c r="D193" s="21"/>
      <c r="E193" s="21"/>
      <c r="F193" s="22" t="s">
        <v>333</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278</v>
      </c>
      <c r="C194" s="17" t="s">
        <v>463</v>
      </c>
      <c r="D194" s="17" t="s">
        <v>272</v>
      </c>
      <c r="E194" s="17" t="s">
        <v>267</v>
      </c>
      <c r="F194" s="12" t="s">
        <v>486</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464</v>
      </c>
      <c r="D195" s="17" t="s">
        <v>294</v>
      </c>
      <c r="E195" s="17" t="s">
        <v>233</v>
      </c>
      <c r="F195" s="20" t="s">
        <v>491</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465</v>
      </c>
      <c r="D196" s="17" t="s">
        <v>295</v>
      </c>
      <c r="E196" s="17" t="s">
        <v>121</v>
      </c>
      <c r="F196" s="20" t="s">
        <v>511</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466</v>
      </c>
      <c r="D197" s="74" t="s">
        <v>415</v>
      </c>
      <c r="E197" s="17" t="s">
        <v>118</v>
      </c>
      <c r="F197" s="75" t="s">
        <v>549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468</v>
      </c>
      <c r="D198" s="17" t="s">
        <v>67</v>
      </c>
      <c r="E198" s="17" t="s">
        <v>123</v>
      </c>
      <c r="F198" s="20" t="s">
        <v>10</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467</v>
      </c>
      <c r="D199" s="17" t="s">
        <v>80</v>
      </c>
      <c r="E199" s="17" t="s">
        <v>122</v>
      </c>
      <c r="F199" s="12" t="s">
        <v>131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469</v>
      </c>
      <c r="D200" s="17" t="s">
        <v>275</v>
      </c>
      <c r="E200" s="17" t="s">
        <v>119</v>
      </c>
      <c r="F200" s="20" t="s">
        <v>509</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470</v>
      </c>
      <c r="D201" s="17" t="s">
        <v>309</v>
      </c>
      <c r="E201" s="17">
        <v>921</v>
      </c>
      <c r="F201" s="20" t="s">
        <v>11</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471</v>
      </c>
      <c r="D202" s="17" t="s">
        <v>546</v>
      </c>
      <c r="E202" s="17">
        <v>456</v>
      </c>
      <c r="F202" s="12" t="s">
        <v>222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472</v>
      </c>
      <c r="D203" s="17" t="s">
        <v>290</v>
      </c>
      <c r="E203" s="17" t="s">
        <v>345</v>
      </c>
      <c r="F203" s="20" t="s">
        <v>320</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380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510</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381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270</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473</v>
      </c>
      <c r="D208" s="21"/>
      <c r="E208" s="21"/>
      <c r="F208" s="22" t="s">
        <v>334</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474</v>
      </c>
      <c r="D209" s="21"/>
      <c r="E209" s="21"/>
      <c r="F209" s="22" t="s">
        <v>334</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278</v>
      </c>
      <c r="C210" s="17" t="s">
        <v>475</v>
      </c>
      <c r="D210" s="17" t="s">
        <v>272</v>
      </c>
      <c r="E210" s="17" t="s">
        <v>267</v>
      </c>
      <c r="F210" s="12" t="s">
        <v>486</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290</v>
      </c>
      <c r="E211" s="17" t="s">
        <v>345</v>
      </c>
      <c r="F211" s="20" t="s">
        <v>320</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382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383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384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385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386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253</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224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221</v>
      </c>
      <c r="E219" s="16" t="s">
        <v>274</v>
      </c>
      <c r="F219" s="10" t="s">
        <v>210</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477</v>
      </c>
      <c r="D220" s="23"/>
      <c r="E220" s="23"/>
      <c r="F220" s="22" t="s">
        <v>476</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478</v>
      </c>
      <c r="D221" s="23"/>
      <c r="E221" s="23"/>
      <c r="F221" s="22" t="s">
        <v>476</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278</v>
      </c>
      <c r="C222" s="17" t="s">
        <v>479</v>
      </c>
      <c r="D222" s="17" t="s">
        <v>272</v>
      </c>
      <c r="E222" s="17" t="s">
        <v>267</v>
      </c>
      <c r="F222" s="12" t="s">
        <v>486</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481</v>
      </c>
      <c r="D223" s="17" t="s">
        <v>290</v>
      </c>
      <c r="E223" s="17" t="s">
        <v>125</v>
      </c>
      <c r="F223" s="20" t="s">
        <v>320</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225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480</v>
      </c>
      <c r="D225" s="17" t="s">
        <v>335</v>
      </c>
      <c r="E225" s="17" t="s">
        <v>124</v>
      </c>
      <c r="F225" s="12" t="s">
        <v>96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482</v>
      </c>
      <c r="D226" s="23"/>
      <c r="E226" s="23"/>
      <c r="F226" s="22" t="s">
        <v>336</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483</v>
      </c>
      <c r="D227" s="23"/>
      <c r="E227" s="23"/>
      <c r="F227" s="22" t="s">
        <v>336</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484</v>
      </c>
      <c r="D228" s="17" t="s">
        <v>337</v>
      </c>
      <c r="E228" s="17" t="s">
        <v>97</v>
      </c>
      <c r="F228" s="12" t="s">
        <v>98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485</v>
      </c>
      <c r="D229" s="17" t="s">
        <v>128</v>
      </c>
      <c r="E229" s="17" t="s">
        <v>129</v>
      </c>
      <c r="F229" s="30" t="s">
        <v>12</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372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254</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279</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5" t="s">
        <v>370</v>
      </c>
      <c r="D237" s="239"/>
      <c r="E237" s="239"/>
      <c r="F237" s="239"/>
      <c r="G237" s="239"/>
      <c r="H237" s="32"/>
      <c r="I237" s="32"/>
      <c r="J237" s="32"/>
      <c r="K237" s="32"/>
      <c r="L237" s="32"/>
      <c r="M237" s="32"/>
      <c r="N237" s="32"/>
      <c r="O237" s="32"/>
      <c r="P237" s="32"/>
      <c r="Q237" s="32"/>
      <c r="R237" s="32"/>
      <c r="S237" s="32"/>
      <c r="T237" s="32"/>
      <c r="U237" s="32"/>
      <c r="V237" s="32"/>
      <c r="W237" s="32" t="s">
        <v>371</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7" t="s">
        <v>149</v>
      </c>
      <c r="C1" s="257"/>
      <c r="D1" s="257"/>
    </row>
    <row r="2" ht="18" customHeight="1" hidden="1">
      <c r="C2" s="91"/>
    </row>
    <row r="3" spans="3:9" ht="18" customHeight="1" hidden="1">
      <c r="C3" s="91"/>
      <c r="I3" s="92"/>
    </row>
    <row r="4" ht="18" customHeight="1"/>
    <row r="5" spans="1:3" ht="56.25" customHeight="1">
      <c r="A5" s="270" t="s">
        <v>237</v>
      </c>
      <c r="B5" s="270"/>
      <c r="C5" s="270"/>
    </row>
    <row r="6" spans="1:3" ht="9" customHeight="1">
      <c r="A6" s="271"/>
      <c r="B6" s="271"/>
      <c r="C6" s="271"/>
    </row>
    <row r="7" spans="1:3" ht="49.5" customHeight="1">
      <c r="A7" s="112" t="s">
        <v>257</v>
      </c>
      <c r="B7" s="112" t="s">
        <v>238</v>
      </c>
      <c r="C7" s="112" t="s">
        <v>115</v>
      </c>
    </row>
    <row r="8" spans="1:3" ht="44.25" customHeight="1">
      <c r="A8" s="108" t="s">
        <v>239</v>
      </c>
      <c r="B8" s="94" t="s">
        <v>250</v>
      </c>
      <c r="C8" s="109" t="s">
        <v>240</v>
      </c>
    </row>
    <row r="9" spans="1:3" ht="56.25">
      <c r="A9" s="268" t="s">
        <v>241</v>
      </c>
      <c r="B9" s="272" t="s">
        <v>251</v>
      </c>
      <c r="C9" s="109" t="s">
        <v>242</v>
      </c>
    </row>
    <row r="10" spans="1:3" ht="81" customHeight="1">
      <c r="A10" s="268"/>
      <c r="B10" s="272"/>
      <c r="C10" s="109" t="s">
        <v>243</v>
      </c>
    </row>
    <row r="11" spans="1:3" ht="57.75" customHeight="1">
      <c r="A11" s="108" t="s">
        <v>244</v>
      </c>
      <c r="B11" s="94" t="s">
        <v>252</v>
      </c>
      <c r="C11" s="109" t="s">
        <v>245</v>
      </c>
    </row>
    <row r="12" spans="1:3" ht="57" customHeight="1">
      <c r="A12" s="268" t="s">
        <v>246</v>
      </c>
      <c r="B12" s="267" t="s">
        <v>249</v>
      </c>
      <c r="C12" s="110" t="s">
        <v>99</v>
      </c>
    </row>
    <row r="13" spans="1:3" ht="75" customHeight="1">
      <c r="A13" s="268"/>
      <c r="B13" s="267"/>
      <c r="C13" s="109" t="s">
        <v>101</v>
      </c>
    </row>
    <row r="14" spans="1:3" ht="54.75" customHeight="1">
      <c r="A14" s="268" t="s">
        <v>246</v>
      </c>
      <c r="B14" s="267" t="s">
        <v>102</v>
      </c>
      <c r="C14" s="110" t="s">
        <v>103</v>
      </c>
    </row>
    <row r="15" spans="1:3" ht="87.75" customHeight="1">
      <c r="A15" s="268"/>
      <c r="B15" s="267"/>
      <c r="C15" s="109" t="s">
        <v>101</v>
      </c>
    </row>
    <row r="16" spans="1:3" ht="54.75" customHeight="1">
      <c r="A16" s="268" t="s">
        <v>104</v>
      </c>
      <c r="B16" s="269" t="s">
        <v>256</v>
      </c>
      <c r="C16" s="109" t="s">
        <v>103</v>
      </c>
    </row>
    <row r="17" spans="1:3" ht="72.75" customHeight="1">
      <c r="A17" s="268"/>
      <c r="B17" s="269"/>
      <c r="C17" s="109" t="s">
        <v>243</v>
      </c>
    </row>
    <row r="18" spans="1:3" ht="45.75" customHeight="1">
      <c r="A18" s="108" t="s">
        <v>105</v>
      </c>
      <c r="B18" s="95" t="s">
        <v>106</v>
      </c>
      <c r="C18" s="109" t="s">
        <v>245</v>
      </c>
    </row>
    <row r="19" spans="1:3" ht="62.25" customHeight="1">
      <c r="A19" s="268" t="s">
        <v>107</v>
      </c>
      <c r="B19" s="269" t="s">
        <v>108</v>
      </c>
      <c r="C19" s="109" t="s">
        <v>103</v>
      </c>
    </row>
    <row r="20" spans="1:3" ht="75">
      <c r="A20" s="268"/>
      <c r="B20" s="269"/>
      <c r="C20" s="109" t="s">
        <v>243</v>
      </c>
    </row>
    <row r="21" spans="1:3" ht="37.5" hidden="1">
      <c r="A21" s="108" t="s">
        <v>109</v>
      </c>
      <c r="B21" s="95" t="s">
        <v>110</v>
      </c>
      <c r="C21" s="109"/>
    </row>
    <row r="22" spans="1:3" ht="18.75" hidden="1">
      <c r="A22" s="108"/>
      <c r="B22" s="96" t="s">
        <v>111</v>
      </c>
      <c r="C22" s="109"/>
    </row>
    <row r="23" spans="1:3" ht="56.25" hidden="1">
      <c r="A23" s="108"/>
      <c r="B23" s="97" t="s">
        <v>112</v>
      </c>
      <c r="C23" s="109" t="s">
        <v>113</v>
      </c>
    </row>
    <row r="24" spans="1:3" ht="56.25" hidden="1">
      <c r="A24" s="108"/>
      <c r="B24" s="97" t="s">
        <v>114</v>
      </c>
      <c r="C24" s="109" t="s">
        <v>113</v>
      </c>
    </row>
    <row r="25" spans="1:3" ht="37.5" hidden="1">
      <c r="A25" s="108"/>
      <c r="B25" s="97" t="s">
        <v>349</v>
      </c>
      <c r="C25" s="109" t="s">
        <v>350</v>
      </c>
    </row>
    <row r="26" spans="1:3" ht="21.75" customHeight="1" hidden="1">
      <c r="A26" s="108"/>
      <c r="B26" s="97" t="s">
        <v>111</v>
      </c>
      <c r="C26" s="109"/>
    </row>
    <row r="27" spans="1:3" ht="75" hidden="1">
      <c r="A27" s="108"/>
      <c r="B27" s="96" t="s">
        <v>351</v>
      </c>
      <c r="C27" s="109" t="s">
        <v>352</v>
      </c>
    </row>
    <row r="28" spans="1:3" ht="120.75" customHeight="1" hidden="1">
      <c r="A28" s="108"/>
      <c r="B28" s="96" t="s">
        <v>353</v>
      </c>
      <c r="C28" s="109" t="s">
        <v>354</v>
      </c>
    </row>
    <row r="29" spans="1:3" ht="60.75" customHeight="1" hidden="1">
      <c r="A29" s="108"/>
      <c r="B29" s="97" t="s">
        <v>355</v>
      </c>
      <c r="C29" s="109" t="s">
        <v>356</v>
      </c>
    </row>
    <row r="30" spans="1:3" ht="80.25" customHeight="1" hidden="1">
      <c r="A30" s="108"/>
      <c r="B30" s="97" t="s">
        <v>357</v>
      </c>
      <c r="C30" s="109" t="s">
        <v>354</v>
      </c>
    </row>
    <row r="31" spans="1:3" ht="56.25" hidden="1">
      <c r="A31" s="108"/>
      <c r="B31" s="98" t="s">
        <v>358</v>
      </c>
      <c r="C31" s="109" t="s">
        <v>359</v>
      </c>
    </row>
    <row r="32" spans="1:3" ht="56.25" hidden="1">
      <c r="A32" s="108"/>
      <c r="B32" s="99" t="s">
        <v>360</v>
      </c>
      <c r="C32" s="109" t="s">
        <v>361</v>
      </c>
    </row>
    <row r="33" spans="1:3" ht="93.75" hidden="1">
      <c r="A33" s="108"/>
      <c r="B33" s="99" t="s">
        <v>364</v>
      </c>
      <c r="C33" s="111" t="s">
        <v>365</v>
      </c>
    </row>
    <row r="34" spans="1:3" ht="75" hidden="1">
      <c r="A34" s="108" t="s">
        <v>366</v>
      </c>
      <c r="B34" s="95" t="s">
        <v>255</v>
      </c>
      <c r="C34" s="109" t="s">
        <v>350</v>
      </c>
    </row>
    <row r="35" spans="1:4" ht="55.5" customHeight="1">
      <c r="A35" s="108" t="s">
        <v>367</v>
      </c>
      <c r="B35" s="266" t="s">
        <v>368</v>
      </c>
      <c r="C35" s="110" t="s">
        <v>103</v>
      </c>
      <c r="D35" s="100"/>
    </row>
    <row r="36" spans="1:4" ht="81" customHeight="1">
      <c r="A36" s="108" t="s">
        <v>369</v>
      </c>
      <c r="B36" s="267"/>
      <c r="C36" s="109" t="s">
        <v>101</v>
      </c>
      <c r="D36" s="101"/>
    </row>
    <row r="37" spans="1:4" ht="65.25" customHeight="1">
      <c r="A37" s="102"/>
      <c r="B37" s="103"/>
      <c r="C37" s="104"/>
      <c r="D37" s="105"/>
    </row>
    <row r="38" spans="1:12" s="8" customFormat="1" ht="12.75" customHeight="1">
      <c r="A38" s="25" t="s">
        <v>370</v>
      </c>
      <c r="B38" s="26"/>
      <c r="C38" s="117" t="s">
        <v>371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0"/>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AA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16384" width="9.33203125" style="128" customWidth="1"/>
  </cols>
  <sheetData>
    <row r="1" spans="1:13" ht="26.25" customHeight="1">
      <c r="A1" s="274" t="s">
        <v>520</v>
      </c>
      <c r="B1" s="274"/>
      <c r="C1" s="274"/>
      <c r="D1" s="274"/>
      <c r="E1" s="274"/>
      <c r="F1" s="274"/>
      <c r="G1" s="274"/>
      <c r="H1" s="274"/>
      <c r="I1" s="190"/>
      <c r="J1" s="190"/>
      <c r="K1" s="190"/>
      <c r="L1" s="190"/>
      <c r="M1" s="190"/>
    </row>
    <row r="2" spans="1:13" ht="28.5" customHeight="1">
      <c r="A2" s="275" t="s">
        <v>521</v>
      </c>
      <c r="B2" s="275"/>
      <c r="C2" s="275"/>
      <c r="D2" s="275"/>
      <c r="E2" s="275"/>
      <c r="F2" s="275"/>
      <c r="G2" s="275"/>
      <c r="H2" s="275"/>
      <c r="I2" s="191"/>
      <c r="J2" s="191"/>
      <c r="K2" s="191"/>
      <c r="L2" s="191"/>
      <c r="M2" s="191"/>
    </row>
    <row r="3" spans="3:13" ht="18.75">
      <c r="C3" s="146"/>
      <c r="D3" s="129"/>
      <c r="E3" s="147"/>
      <c r="G3" s="148" t="s">
        <v>522</v>
      </c>
      <c r="L3" s="208"/>
      <c r="M3" s="211"/>
    </row>
    <row r="4" spans="1:22" ht="18.75">
      <c r="A4" s="278" t="s">
        <v>512</v>
      </c>
      <c r="B4" s="156"/>
      <c r="C4" s="278" t="s">
        <v>514</v>
      </c>
      <c r="D4" s="277" t="s">
        <v>515</v>
      </c>
      <c r="E4" s="277" t="s">
        <v>259</v>
      </c>
      <c r="F4" s="277" t="s">
        <v>260</v>
      </c>
      <c r="G4" s="132" t="s">
        <v>264</v>
      </c>
      <c r="H4" s="276" t="s">
        <v>16</v>
      </c>
      <c r="I4" s="276" t="s">
        <v>362</v>
      </c>
      <c r="J4" s="276" t="s">
        <v>247</v>
      </c>
      <c r="K4" s="276" t="s">
        <v>248</v>
      </c>
      <c r="L4" s="282" t="s">
        <v>363</v>
      </c>
      <c r="M4" s="212"/>
      <c r="T4" s="184" t="s">
        <v>204</v>
      </c>
      <c r="U4" s="180" t="s">
        <v>205</v>
      </c>
      <c r="V4" s="182" t="s">
        <v>206</v>
      </c>
    </row>
    <row r="5" spans="1:26" ht="75.75" customHeight="1">
      <c r="A5" s="278"/>
      <c r="B5" s="9" t="s">
        <v>513</v>
      </c>
      <c r="C5" s="278"/>
      <c r="D5" s="277"/>
      <c r="E5" s="277"/>
      <c r="F5" s="277"/>
      <c r="G5" s="149" t="s">
        <v>273</v>
      </c>
      <c r="H5" s="276"/>
      <c r="I5" s="276"/>
      <c r="J5" s="276"/>
      <c r="K5" s="276"/>
      <c r="L5" s="283"/>
      <c r="M5" s="219"/>
      <c r="N5" s="159" t="s">
        <v>145</v>
      </c>
      <c r="O5" s="186" t="s">
        <v>193</v>
      </c>
      <c r="P5" s="186" t="s">
        <v>194</v>
      </c>
      <c r="Q5" s="186" t="s">
        <v>195</v>
      </c>
      <c r="R5" s="186" t="s">
        <v>196</v>
      </c>
      <c r="S5" s="186" t="s">
        <v>197</v>
      </c>
      <c r="T5" s="186" t="s">
        <v>198</v>
      </c>
      <c r="U5" s="186" t="s">
        <v>199</v>
      </c>
      <c r="V5" s="186" t="s">
        <v>200</v>
      </c>
      <c r="W5" s="186" t="s">
        <v>201</v>
      </c>
      <c r="X5" s="186" t="s">
        <v>202</v>
      </c>
      <c r="Y5" s="186" t="s">
        <v>203</v>
      </c>
      <c r="Z5" s="186" t="s">
        <v>261</v>
      </c>
    </row>
    <row r="6" spans="1:14" s="131" customFormat="1" ht="25.5" customHeight="1">
      <c r="A6" s="279" t="s">
        <v>523</v>
      </c>
      <c r="B6" s="280"/>
      <c r="C6" s="280"/>
      <c r="D6" s="280"/>
      <c r="E6" s="280"/>
      <c r="F6" s="280"/>
      <c r="G6" s="280"/>
      <c r="H6" s="280"/>
      <c r="I6" s="284"/>
      <c r="J6" s="284"/>
      <c r="K6" s="284"/>
      <c r="L6" s="285"/>
      <c r="M6" s="213"/>
      <c r="N6" s="228"/>
    </row>
    <row r="7" spans="1:26" ht="37.5" customHeight="1">
      <c r="A7" s="150">
        <v>1</v>
      </c>
      <c r="B7" s="169"/>
      <c r="C7" s="151" t="s">
        <v>524</v>
      </c>
      <c r="D7" s="152">
        <f>D8+D16</f>
        <v>41551689.86</v>
      </c>
      <c r="E7" s="152">
        <f>E8+E16</f>
        <v>15350000</v>
      </c>
      <c r="F7" s="152">
        <f>F8+F16</f>
        <v>26201689.86</v>
      </c>
      <c r="G7" s="152">
        <f>G8+G16</f>
        <v>22523010.71</v>
      </c>
      <c r="H7" s="175">
        <f>H8+H16</f>
        <v>23856086.99</v>
      </c>
      <c r="I7" s="175">
        <f>I9+I12</f>
        <v>7952181.199999999</v>
      </c>
      <c r="J7" s="233"/>
      <c r="K7" s="233"/>
      <c r="L7" s="227">
        <f>H7/(O7+P7+Q7+R7+S7+T7+U7+V7+W7+X7)*100</f>
        <v>58.43927571991714</v>
      </c>
      <c r="M7" s="218"/>
      <c r="N7" s="220">
        <f aca="true" t="shared" si="0" ref="N7:N70">O7+P7+Q7+R7+S7+T7+U7+V7+W7+X7-H7</f>
        <v>16965923.029999997</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1939905.5</v>
      </c>
      <c r="Y7" s="152">
        <f t="shared" si="1"/>
        <v>729679.8400000001</v>
      </c>
      <c r="Z7" s="152">
        <f>Z8+Z16</f>
        <v>41551689.86</v>
      </c>
    </row>
    <row r="8" spans="1:26" ht="18.75">
      <c r="A8" s="133" t="s">
        <v>516</v>
      </c>
      <c r="B8" s="134"/>
      <c r="C8" s="153" t="s">
        <v>525</v>
      </c>
      <c r="D8" s="154">
        <f>D9+D13+D14+D12+D15</f>
        <v>17161567.56</v>
      </c>
      <c r="E8" s="154">
        <f>E9+E13+E14+E12+E15</f>
        <v>15350000</v>
      </c>
      <c r="F8" s="154">
        <f>F9+F13+F14+F12+F15</f>
        <v>1811567.56</v>
      </c>
      <c r="G8" s="154"/>
      <c r="H8" s="154">
        <f>H9+H13+H14+H12+H15</f>
        <v>9763748.76</v>
      </c>
      <c r="I8" s="203"/>
      <c r="J8" s="234"/>
      <c r="K8" s="234"/>
      <c r="L8" s="214">
        <f>H8/(O8+P8+Q8+R8+S8+T8+U8+V8+W8+X8)*100</f>
        <v>58.954254931650915</v>
      </c>
      <c r="M8" s="215"/>
      <c r="N8" s="220">
        <f t="shared" si="0"/>
        <v>6797818.800000001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1611567.56</v>
      </c>
      <c r="Y8" s="183">
        <f>Y9+Y12+Y13+Y14</f>
        <v>600000</v>
      </c>
      <c r="Z8" s="183">
        <f>Z9+Z12+Z13+Z14+Z15</f>
        <v>17161567.560000002</v>
      </c>
    </row>
    <row r="9" spans="1:26" ht="37.5">
      <c r="A9" s="133"/>
      <c r="B9" s="134"/>
      <c r="C9" s="135" t="s">
        <v>100</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0"/>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526</v>
      </c>
      <c r="D10" s="158"/>
      <c r="E10" s="158"/>
      <c r="F10" s="158"/>
      <c r="G10" s="236"/>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33</v>
      </c>
      <c r="D11" s="158">
        <f>E11</f>
        <v>0</v>
      </c>
      <c r="E11" s="158">
        <f>3000000-2576000-424000</f>
        <v>0</v>
      </c>
      <c r="F11" s="158"/>
      <c r="G11" s="236"/>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527</v>
      </c>
      <c r="D12" s="155">
        <f>E12</f>
        <v>12345000</v>
      </c>
      <c r="E12" s="155">
        <f>3500000+500000+6700000+1795000-150000</f>
        <v>12345000</v>
      </c>
      <c r="F12" s="155"/>
      <c r="G12" s="236"/>
      <c r="H12" s="204">
        <f>241334.4+64578+48081+278935+170139+140867+147553+370203.6+242397.78+441136.8+89824.64+66290+315369.24+177057.6+73078.99+327937.2+193947+183970.32+540163.2+305557+89489+284612.97+203387+257573.13+84615+422595.89+90395</f>
        <v>5851088.76</v>
      </c>
      <c r="I12" s="204">
        <f>H12</f>
        <v>5851088.76</v>
      </c>
      <c r="J12" s="222"/>
      <c r="K12" s="222"/>
      <c r="L12" s="209">
        <f t="shared" si="3"/>
        <v>49.81769910600255</v>
      </c>
      <c r="M12" s="216"/>
      <c r="N12" s="221">
        <f t="shared" si="0"/>
        <v>5893911.24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f>
        <v>1650000</v>
      </c>
      <c r="Y12" s="184">
        <f>600000</f>
        <v>600000</v>
      </c>
      <c r="Z12" s="185">
        <f t="shared" si="4"/>
        <v>12345000</v>
      </c>
    </row>
    <row r="13" spans="1:26" ht="18.75">
      <c r="A13" s="133"/>
      <c r="B13" s="134"/>
      <c r="C13" s="135" t="s">
        <v>528</v>
      </c>
      <c r="D13" s="155">
        <f>F13</f>
        <v>98846.55</v>
      </c>
      <c r="E13" s="136"/>
      <c r="F13" s="155">
        <f>100000-1153.45</f>
        <v>98846.55</v>
      </c>
      <c r="G13" s="235"/>
      <c r="H13" s="204">
        <v>98846.55</v>
      </c>
      <c r="I13" s="222"/>
      <c r="J13" s="222"/>
      <c r="K13" s="222"/>
      <c r="L13" s="209">
        <f t="shared" si="3"/>
        <v>100</v>
      </c>
      <c r="M13" s="216"/>
      <c r="N13" s="221">
        <f t="shared" si="0"/>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21</v>
      </c>
      <c r="D14" s="155">
        <f>F14</f>
        <v>20523.12</v>
      </c>
      <c r="E14" s="136"/>
      <c r="F14" s="155">
        <f>50000-29476.88</f>
        <v>20523.12</v>
      </c>
      <c r="G14" s="235"/>
      <c r="H14" s="204">
        <v>20523.12</v>
      </c>
      <c r="I14" s="222"/>
      <c r="J14" s="222"/>
      <c r="K14" s="222"/>
      <c r="L14" s="209">
        <f t="shared" si="3"/>
        <v>100</v>
      </c>
      <c r="M14" s="216"/>
      <c r="N14" s="221">
        <f t="shared" si="0"/>
        <v>0</v>
      </c>
      <c r="O14" s="194"/>
      <c r="P14" s="181"/>
      <c r="Q14" s="179">
        <v>50000</v>
      </c>
      <c r="R14" s="181"/>
      <c r="S14" s="181"/>
      <c r="T14" s="181"/>
      <c r="U14" s="181"/>
      <c r="V14" s="181"/>
      <c r="W14" s="181"/>
      <c r="X14" s="179">
        <v>-29476.88</v>
      </c>
      <c r="Y14" s="181"/>
      <c r="Z14" s="180">
        <f t="shared" si="4"/>
        <v>20523.12</v>
      </c>
    </row>
    <row r="15" spans="1:26" ht="18.75">
      <c r="A15" s="133"/>
      <c r="B15" s="134"/>
      <c r="C15" s="135" t="s">
        <v>34</v>
      </c>
      <c r="D15" s="155">
        <f>E15</f>
        <v>505000</v>
      </c>
      <c r="E15" s="136">
        <v>505000</v>
      </c>
      <c r="F15" s="155"/>
      <c r="G15" s="237"/>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517</v>
      </c>
      <c r="B16" s="134"/>
      <c r="C16" s="159" t="s">
        <v>22</v>
      </c>
      <c r="D16" s="154">
        <f>SUM(D17:D38)</f>
        <v>24390122.3</v>
      </c>
      <c r="E16" s="154"/>
      <c r="F16" s="154">
        <f>SUM(F17:F38)</f>
        <v>24390122.3</v>
      </c>
      <c r="G16" s="154">
        <f>SUM(G17:G38)</f>
        <v>22523010.71</v>
      </c>
      <c r="H16" s="154">
        <f>SUM(H17:H38)</f>
        <v>14092338.229999999</v>
      </c>
      <c r="I16" s="154"/>
      <c r="J16" s="154">
        <f>SUM(J17:J38)</f>
        <v>876400.04</v>
      </c>
      <c r="K16" s="154">
        <f>SUM(K17:K38)</f>
        <v>1627516.75</v>
      </c>
      <c r="L16" s="214">
        <f>H16/(O16+P16+Q16+R16+S16+T16+U16+V16+W16+X16)*100</f>
        <v>58.087721414129554</v>
      </c>
      <c r="M16" s="215"/>
      <c r="N16" s="220">
        <f t="shared" si="0"/>
        <v>10168104.230000002</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SUM(V17:V38)</f>
        <v>8735180.79</v>
      </c>
      <c r="W16" s="154">
        <f>SUM(W17:W38)</f>
        <v>1995261.21</v>
      </c>
      <c r="X16" s="154">
        <f>SUM(X17:X38)</f>
        <v>328337.93999999994</v>
      </c>
      <c r="Y16" s="154">
        <f>SUM(Y17:Y38)</f>
        <v>129679.84000000003</v>
      </c>
      <c r="Z16" s="154">
        <f>SUM(Z17:Z38)</f>
        <v>24390122.3</v>
      </c>
    </row>
    <row r="17" spans="1:26" ht="18.75">
      <c r="A17" s="133"/>
      <c r="B17" s="134"/>
      <c r="C17" s="137" t="s">
        <v>156</v>
      </c>
      <c r="D17" s="155">
        <f>F17</f>
        <v>3537111.5900000003</v>
      </c>
      <c r="E17" s="136"/>
      <c r="F17" s="155">
        <f>1883424.34-14650.69+G17-1662.06</f>
        <v>3537111.5900000003</v>
      </c>
      <c r="G17" s="155">
        <f>370000+1300000</f>
        <v>1670000</v>
      </c>
      <c r="H17" s="204">
        <f>J17+K17</f>
        <v>2503916.79</v>
      </c>
      <c r="I17" s="222"/>
      <c r="J17" s="222">
        <f>285173+575000+13522.53+2704.51</f>
        <v>876400.04</v>
      </c>
      <c r="K17" s="222">
        <f>11331.03+86811.92+1531.69+1353.6+47120.79+440000+62636.1+1320+69019.18+42379+230772+4406.44+180000+64621+325000+59214</f>
        <v>1627516.75</v>
      </c>
      <c r="L17" s="209">
        <f>H17/(O17+P17+Q17+R17+S17+T17+U17+V17+W17+X17)*100</f>
        <v>70.78987264860366</v>
      </c>
      <c r="M17" s="216"/>
      <c r="N17" s="221">
        <f t="shared" si="0"/>
        <v>1033194.7999999998</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25</v>
      </c>
      <c r="D18" s="160">
        <f aca="true" t="shared" si="6" ref="D18:D38">F18</f>
        <v>10000000</v>
      </c>
      <c r="E18" s="130"/>
      <c r="F18" s="155">
        <f aca="true" t="shared" si="7" ref="F18:F38">G18</f>
        <v>10000000</v>
      </c>
      <c r="G18" s="155">
        <v>10000000</v>
      </c>
      <c r="H18" s="204">
        <f>91583+4850000</f>
        <v>4941583</v>
      </c>
      <c r="I18" s="222"/>
      <c r="J18" s="222"/>
      <c r="K18" s="222"/>
      <c r="L18" s="209">
        <f aca="true" t="shared" si="8" ref="L18:L38">H18/(O18+P18+Q18+R18+S18+T18+U18+V18+W18+X18)*100</f>
        <v>49.41583</v>
      </c>
      <c r="M18" s="216"/>
      <c r="N18" s="221">
        <f t="shared" si="0"/>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207</v>
      </c>
      <c r="D19" s="160">
        <f t="shared" si="6"/>
        <v>279079.21</v>
      </c>
      <c r="E19" s="130"/>
      <c r="F19" s="155">
        <f t="shared" si="7"/>
        <v>279079.21</v>
      </c>
      <c r="G19" s="155">
        <v>279079.21</v>
      </c>
      <c r="H19" s="204">
        <v>279079.21</v>
      </c>
      <c r="I19" s="222"/>
      <c r="J19" s="222"/>
      <c r="K19" s="222"/>
      <c r="L19" s="209">
        <f t="shared" si="8"/>
        <v>100</v>
      </c>
      <c r="M19" s="216"/>
      <c r="N19" s="221">
        <f t="shared" si="0"/>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157</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0"/>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158</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0"/>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146</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0"/>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159</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0"/>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23</v>
      </c>
      <c r="D24" s="160">
        <f t="shared" si="6"/>
        <v>100000</v>
      </c>
      <c r="E24" s="187"/>
      <c r="F24" s="160">
        <f t="shared" si="7"/>
        <v>100000</v>
      </c>
      <c r="G24" s="172">
        <v>100000</v>
      </c>
      <c r="H24" s="206"/>
      <c r="I24" s="229"/>
      <c r="J24" s="229"/>
      <c r="K24" s="229"/>
      <c r="L24" s="209"/>
      <c r="M24" s="216"/>
      <c r="N24" s="221">
        <f t="shared" si="0"/>
        <v>100000</v>
      </c>
      <c r="O24" s="197"/>
      <c r="P24" s="173"/>
      <c r="Q24" s="173"/>
      <c r="R24" s="173">
        <v>100000</v>
      </c>
      <c r="S24" s="173"/>
      <c r="T24" s="173"/>
      <c r="U24" s="173"/>
      <c r="V24" s="173"/>
      <c r="W24" s="173"/>
      <c r="X24" s="173"/>
      <c r="Y24" s="173"/>
      <c r="Z24" s="182">
        <f t="shared" si="4"/>
        <v>100000</v>
      </c>
    </row>
    <row r="25" spans="1:26" s="131" customFormat="1" ht="18.75">
      <c r="A25" s="170"/>
      <c r="B25" s="171"/>
      <c r="C25" s="137" t="s">
        <v>24</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0"/>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160</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0"/>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161</v>
      </c>
      <c r="D27" s="160">
        <f t="shared" si="6"/>
        <v>129679.84000000003</v>
      </c>
      <c r="E27" s="187"/>
      <c r="F27" s="160">
        <f t="shared" si="7"/>
        <v>129679.84000000003</v>
      </c>
      <c r="G27" s="172">
        <f>500000-370320.16</f>
        <v>129679.84000000003</v>
      </c>
      <c r="H27" s="206"/>
      <c r="I27" s="229"/>
      <c r="J27" s="229"/>
      <c r="K27" s="229"/>
      <c r="L27" s="209"/>
      <c r="M27" s="216"/>
      <c r="N27" s="221">
        <f t="shared" si="0"/>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35</v>
      </c>
      <c r="D28" s="160">
        <f t="shared" si="6"/>
        <v>130529</v>
      </c>
      <c r="E28" s="187"/>
      <c r="F28" s="160">
        <f t="shared" si="7"/>
        <v>130529</v>
      </c>
      <c r="G28" s="160">
        <f>60000+70529</f>
        <v>130529</v>
      </c>
      <c r="H28" s="206">
        <f>74843</f>
        <v>74843</v>
      </c>
      <c r="I28" s="229"/>
      <c r="J28" s="229"/>
      <c r="K28" s="229"/>
      <c r="L28" s="209">
        <f t="shared" si="8"/>
        <v>57.33821602862199</v>
      </c>
      <c r="M28" s="216"/>
      <c r="N28" s="221">
        <f t="shared" si="0"/>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27</v>
      </c>
      <c r="D29" s="160">
        <f t="shared" si="6"/>
        <v>430000</v>
      </c>
      <c r="E29" s="187"/>
      <c r="F29" s="160">
        <f t="shared" si="7"/>
        <v>430000</v>
      </c>
      <c r="G29" s="160">
        <f>300000+130000</f>
        <v>430000</v>
      </c>
      <c r="H29" s="206">
        <f>10833.73+240000+87497</f>
        <v>338330.73</v>
      </c>
      <c r="I29" s="229"/>
      <c r="J29" s="229"/>
      <c r="K29" s="229"/>
      <c r="L29" s="209">
        <f t="shared" si="8"/>
        <v>78.68156511627906</v>
      </c>
      <c r="M29" s="216"/>
      <c r="N29" s="221">
        <f t="shared" si="0"/>
        <v>91669.27000000002</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162</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0"/>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32</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0"/>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28</v>
      </c>
      <c r="D32" s="160">
        <f t="shared" si="6"/>
        <v>600000</v>
      </c>
      <c r="E32" s="160"/>
      <c r="F32" s="160">
        <f t="shared" si="7"/>
        <v>600000</v>
      </c>
      <c r="G32" s="172">
        <v>600000</v>
      </c>
      <c r="H32" s="155"/>
      <c r="I32" s="229"/>
      <c r="J32" s="229"/>
      <c r="K32" s="229"/>
      <c r="L32" s="209"/>
      <c r="M32" s="216"/>
      <c r="N32" s="221">
        <f t="shared" si="0"/>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36</v>
      </c>
      <c r="D33" s="160">
        <f t="shared" si="6"/>
        <v>550000</v>
      </c>
      <c r="E33" s="160"/>
      <c r="F33" s="160">
        <f t="shared" si="7"/>
        <v>550000</v>
      </c>
      <c r="G33" s="172">
        <v>550000</v>
      </c>
      <c r="H33" s="155">
        <f>3000</f>
        <v>3000</v>
      </c>
      <c r="I33" s="229"/>
      <c r="J33" s="229"/>
      <c r="K33" s="229"/>
      <c r="L33" s="209">
        <f t="shared" si="8"/>
        <v>0.5454545454545455</v>
      </c>
      <c r="M33" s="216"/>
      <c r="N33" s="221">
        <f t="shared" si="0"/>
        <v>547000</v>
      </c>
      <c r="O33" s="173"/>
      <c r="P33" s="173"/>
      <c r="Q33" s="173"/>
      <c r="R33" s="173"/>
      <c r="S33" s="173"/>
      <c r="T33" s="173"/>
      <c r="U33" s="173"/>
      <c r="V33" s="173">
        <v>550000</v>
      </c>
      <c r="W33" s="173"/>
      <c r="X33" s="173"/>
      <c r="Y33" s="173"/>
      <c r="Z33" s="182">
        <f t="shared" si="4"/>
        <v>550000</v>
      </c>
    </row>
    <row r="34" spans="1:26" s="131" customFormat="1" ht="18.75" hidden="1">
      <c r="A34" s="170"/>
      <c r="B34" s="171"/>
      <c r="C34" s="137" t="s">
        <v>37</v>
      </c>
      <c r="D34" s="160">
        <f t="shared" si="6"/>
        <v>0</v>
      </c>
      <c r="E34" s="160"/>
      <c r="F34" s="160">
        <f t="shared" si="7"/>
        <v>0</v>
      </c>
      <c r="G34" s="172">
        <f>1300000-1300000</f>
        <v>0</v>
      </c>
      <c r="H34" s="155">
        <f>575000-575000</f>
        <v>0</v>
      </c>
      <c r="I34" s="229"/>
      <c r="J34" s="229"/>
      <c r="K34" s="229"/>
      <c r="L34" s="209" t="e">
        <f t="shared" si="8"/>
        <v>#DIV/0!</v>
      </c>
      <c r="M34" s="216"/>
      <c r="N34" s="221">
        <f t="shared" si="0"/>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38</v>
      </c>
      <c r="D35" s="160">
        <f t="shared" si="6"/>
        <v>1200000</v>
      </c>
      <c r="E35" s="160"/>
      <c r="F35" s="160">
        <f t="shared" si="7"/>
        <v>1200000</v>
      </c>
      <c r="G35" s="172">
        <v>1200000</v>
      </c>
      <c r="H35" s="155">
        <f>10350</f>
        <v>10350</v>
      </c>
      <c r="I35" s="229"/>
      <c r="J35" s="229"/>
      <c r="K35" s="229"/>
      <c r="L35" s="209">
        <f t="shared" si="8"/>
        <v>0.8625</v>
      </c>
      <c r="M35" s="216"/>
      <c r="N35" s="221">
        <f t="shared" si="0"/>
        <v>1189650</v>
      </c>
      <c r="O35" s="173"/>
      <c r="P35" s="173"/>
      <c r="Q35" s="173"/>
      <c r="R35" s="173"/>
      <c r="S35" s="173"/>
      <c r="T35" s="173"/>
      <c r="U35" s="173"/>
      <c r="V35" s="173">
        <v>1200000</v>
      </c>
      <c r="W35" s="173"/>
      <c r="X35" s="173"/>
      <c r="Y35" s="173"/>
      <c r="Z35" s="182">
        <f t="shared" si="4"/>
        <v>1200000</v>
      </c>
    </row>
    <row r="36" spans="1:26" s="131" customFormat="1" ht="18.75">
      <c r="A36" s="170"/>
      <c r="B36" s="171"/>
      <c r="C36" s="137" t="s">
        <v>551</v>
      </c>
      <c r="D36" s="160">
        <f t="shared" si="6"/>
        <v>1200000</v>
      </c>
      <c r="E36" s="160"/>
      <c r="F36" s="160">
        <f t="shared" si="7"/>
        <v>1200000</v>
      </c>
      <c r="G36" s="172">
        <v>1200000</v>
      </c>
      <c r="H36" s="155">
        <f>723400</f>
        <v>723400</v>
      </c>
      <c r="I36" s="229"/>
      <c r="J36" s="229"/>
      <c r="K36" s="229"/>
      <c r="L36" s="209">
        <f t="shared" si="8"/>
        <v>60.28333333333333</v>
      </c>
      <c r="M36" s="216"/>
      <c r="N36" s="221">
        <f t="shared" si="0"/>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147</v>
      </c>
      <c r="D37" s="160">
        <f t="shared" si="6"/>
        <v>150000</v>
      </c>
      <c r="E37" s="160"/>
      <c r="F37" s="160">
        <f t="shared" si="7"/>
        <v>150000</v>
      </c>
      <c r="G37" s="172">
        <v>150000</v>
      </c>
      <c r="H37" s="155">
        <f>42000</f>
        <v>42000</v>
      </c>
      <c r="I37" s="229"/>
      <c r="J37" s="229"/>
      <c r="K37" s="229"/>
      <c r="L37" s="209">
        <f t="shared" si="8"/>
        <v>28.000000000000004</v>
      </c>
      <c r="M37" s="216"/>
      <c r="N37" s="221"/>
      <c r="O37" s="173"/>
      <c r="P37" s="173"/>
      <c r="Q37" s="173"/>
      <c r="R37" s="173"/>
      <c r="S37" s="173"/>
      <c r="T37" s="173"/>
      <c r="U37" s="173"/>
      <c r="V37" s="173"/>
      <c r="W37" s="173"/>
      <c r="X37" s="173">
        <f>150000</f>
        <v>150000</v>
      </c>
      <c r="Y37" s="173"/>
      <c r="Z37" s="182">
        <f t="shared" si="4"/>
        <v>150000</v>
      </c>
    </row>
    <row r="38" spans="1:26" s="131" customFormat="1" ht="24.75" customHeight="1">
      <c r="A38" s="170"/>
      <c r="B38" s="171"/>
      <c r="C38" s="137" t="s">
        <v>39</v>
      </c>
      <c r="D38" s="160">
        <f t="shared" si="6"/>
        <v>400000</v>
      </c>
      <c r="E38" s="160"/>
      <c r="F38" s="160">
        <f t="shared" si="7"/>
        <v>400000</v>
      </c>
      <c r="G38" s="172">
        <v>400000</v>
      </c>
      <c r="H38" s="155">
        <f>17000+279000</f>
        <v>296000</v>
      </c>
      <c r="I38" s="229"/>
      <c r="J38" s="229"/>
      <c r="K38" s="229"/>
      <c r="L38" s="209">
        <f t="shared" si="8"/>
        <v>74</v>
      </c>
      <c r="M38" s="216"/>
      <c r="N38" s="221">
        <f t="shared" si="0"/>
        <v>104000</v>
      </c>
      <c r="O38" s="173"/>
      <c r="P38" s="173"/>
      <c r="Q38" s="173"/>
      <c r="R38" s="173"/>
      <c r="S38" s="173"/>
      <c r="T38" s="173"/>
      <c r="U38" s="173"/>
      <c r="V38" s="173">
        <v>400000</v>
      </c>
      <c r="W38" s="173"/>
      <c r="X38" s="173"/>
      <c r="Y38" s="173"/>
      <c r="Z38" s="182">
        <f t="shared" si="4"/>
        <v>400000</v>
      </c>
    </row>
    <row r="39" spans="1:26" s="131" customFormat="1" ht="27.75" customHeight="1">
      <c r="A39" s="279" t="s">
        <v>29</v>
      </c>
      <c r="B39" s="280"/>
      <c r="C39" s="280"/>
      <c r="D39" s="280"/>
      <c r="E39" s="280"/>
      <c r="F39" s="280"/>
      <c r="G39" s="280"/>
      <c r="H39" s="280"/>
      <c r="I39" s="280"/>
      <c r="J39" s="280"/>
      <c r="K39" s="280"/>
      <c r="L39" s="281"/>
      <c r="M39" s="216"/>
      <c r="N39" s="221"/>
      <c r="O39" s="231"/>
      <c r="P39" s="231"/>
      <c r="Q39" s="231"/>
      <c r="R39" s="231"/>
      <c r="S39" s="231"/>
      <c r="T39" s="231"/>
      <c r="U39" s="231"/>
      <c r="V39" s="231"/>
      <c r="W39" s="231"/>
      <c r="X39" s="231"/>
      <c r="Y39" s="231"/>
      <c r="Z39" s="182"/>
    </row>
    <row r="40" spans="1:26" s="131" customFormat="1" ht="27.75" customHeight="1">
      <c r="A40" s="150">
        <v>2</v>
      </c>
      <c r="B40" s="151"/>
      <c r="C40" s="161" t="s">
        <v>30</v>
      </c>
      <c r="D40" s="152">
        <f>D41</f>
        <v>701896.79</v>
      </c>
      <c r="E40" s="151"/>
      <c r="F40" s="152">
        <f>G40</f>
        <v>701896.79</v>
      </c>
      <c r="G40" s="152">
        <f>G41</f>
        <v>701896.79</v>
      </c>
      <c r="H40" s="175">
        <f>H41</f>
        <v>701896.79</v>
      </c>
      <c r="I40" s="175"/>
      <c r="J40" s="233"/>
      <c r="K40" s="233"/>
      <c r="L40" s="227">
        <f>H40/(O40+P40+Q40+R40+S40+T40+U40+V40)*100</f>
        <v>100</v>
      </c>
      <c r="M40" s="218"/>
      <c r="N40" s="220">
        <f t="shared" si="0"/>
        <v>0</v>
      </c>
      <c r="O40" s="198">
        <f>O41</f>
        <v>701896.79</v>
      </c>
      <c r="P40" s="175">
        <f aca="true" t="shared" si="9" ref="P40:Z41">P41</f>
        <v>0</v>
      </c>
      <c r="Q40" s="175">
        <f t="shared" si="9"/>
        <v>0</v>
      </c>
      <c r="R40" s="175">
        <f t="shared" si="9"/>
        <v>0</v>
      </c>
      <c r="S40" s="175">
        <f t="shared" si="9"/>
        <v>0</v>
      </c>
      <c r="T40" s="175">
        <f t="shared" si="9"/>
        <v>0</v>
      </c>
      <c r="U40" s="175">
        <f t="shared" si="9"/>
        <v>0</v>
      </c>
      <c r="V40" s="175">
        <f t="shared" si="9"/>
        <v>0</v>
      </c>
      <c r="W40" s="175">
        <f t="shared" si="9"/>
        <v>0</v>
      </c>
      <c r="X40" s="175">
        <f t="shared" si="9"/>
        <v>0</v>
      </c>
      <c r="Y40" s="175">
        <f t="shared" si="9"/>
        <v>0</v>
      </c>
      <c r="Z40" s="175">
        <f t="shared" si="9"/>
        <v>701896.79</v>
      </c>
    </row>
    <row r="41" spans="1:26" s="131" customFormat="1" ht="23.25" customHeight="1">
      <c r="A41" s="133" t="s">
        <v>518</v>
      </c>
      <c r="B41" s="168"/>
      <c r="C41" s="159" t="s">
        <v>22</v>
      </c>
      <c r="D41" s="162">
        <f>F41</f>
        <v>701896.79</v>
      </c>
      <c r="E41" s="138"/>
      <c r="F41" s="162">
        <f>G41</f>
        <v>701896.79</v>
      </c>
      <c r="G41" s="162">
        <f>G42</f>
        <v>701896.79</v>
      </c>
      <c r="H41" s="176">
        <f>H42</f>
        <v>701896.79</v>
      </c>
      <c r="I41" s="176"/>
      <c r="J41" s="238"/>
      <c r="K41" s="238"/>
      <c r="L41" s="214">
        <f>H41/(O41+P41+Q41+R41+S41+T41+U41+V41)*100</f>
        <v>100</v>
      </c>
      <c r="M41" s="217"/>
      <c r="N41" s="220">
        <f t="shared" si="0"/>
        <v>0</v>
      </c>
      <c r="O41" s="199">
        <f>O42</f>
        <v>701896.79</v>
      </c>
      <c r="P41" s="176">
        <f t="shared" si="9"/>
        <v>0</v>
      </c>
      <c r="Q41" s="176">
        <f t="shared" si="9"/>
        <v>0</v>
      </c>
      <c r="R41" s="176">
        <f t="shared" si="9"/>
        <v>0</v>
      </c>
      <c r="S41" s="176">
        <f t="shared" si="9"/>
        <v>0</v>
      </c>
      <c r="T41" s="176">
        <f t="shared" si="9"/>
        <v>0</v>
      </c>
      <c r="U41" s="176">
        <f t="shared" si="9"/>
        <v>0</v>
      </c>
      <c r="V41" s="176">
        <f t="shared" si="9"/>
        <v>0</v>
      </c>
      <c r="W41" s="176">
        <f t="shared" si="9"/>
        <v>0</v>
      </c>
      <c r="X41" s="176">
        <f t="shared" si="9"/>
        <v>0</v>
      </c>
      <c r="Y41" s="176">
        <f t="shared" si="9"/>
        <v>0</v>
      </c>
      <c r="Z41" s="176">
        <f t="shared" si="9"/>
        <v>701896.79</v>
      </c>
    </row>
    <row r="42" spans="1:26" s="131" customFormat="1" ht="38.25" customHeight="1">
      <c r="A42" s="133"/>
      <c r="B42" s="168"/>
      <c r="C42" s="137" t="s">
        <v>545</v>
      </c>
      <c r="D42" s="160">
        <f>F42</f>
        <v>701896.79</v>
      </c>
      <c r="E42" s="138"/>
      <c r="F42" s="160">
        <f>G42</f>
        <v>701896.79</v>
      </c>
      <c r="G42" s="160">
        <v>701896.79</v>
      </c>
      <c r="H42" s="207">
        <v>701896.79</v>
      </c>
      <c r="I42" s="224"/>
      <c r="J42" s="224"/>
      <c r="K42" s="224"/>
      <c r="L42" s="209">
        <f>H42/(O42+P42+Q42+R42+S42+T42+U42+V42)*100</f>
        <v>100</v>
      </c>
      <c r="M42" s="216"/>
      <c r="N42" s="221">
        <f t="shared" si="0"/>
        <v>0</v>
      </c>
      <c r="O42" s="200">
        <v>701896.79</v>
      </c>
      <c r="P42" s="189"/>
      <c r="Q42" s="189"/>
      <c r="R42" s="189"/>
      <c r="S42" s="189"/>
      <c r="T42" s="189"/>
      <c r="U42" s="189"/>
      <c r="V42" s="189"/>
      <c r="W42" s="189"/>
      <c r="X42" s="189"/>
      <c r="Y42" s="189"/>
      <c r="Z42" s="182">
        <f t="shared" si="4"/>
        <v>701896.79</v>
      </c>
    </row>
    <row r="43" spans="1:26" s="131" customFormat="1" ht="45.75" customHeight="1">
      <c r="A43" s="150">
        <v>3</v>
      </c>
      <c r="B43" s="169"/>
      <c r="C43" s="151" t="s">
        <v>524</v>
      </c>
      <c r="D43" s="152">
        <f>D44</f>
        <v>34898517.96</v>
      </c>
      <c r="E43" s="152"/>
      <c r="F43" s="152">
        <f>F44</f>
        <v>34898517.96</v>
      </c>
      <c r="G43" s="152">
        <f>G44</f>
        <v>34898517.96</v>
      </c>
      <c r="H43" s="175">
        <f>H44</f>
        <v>7990254.55</v>
      </c>
      <c r="I43" s="175"/>
      <c r="J43" s="233"/>
      <c r="K43" s="233"/>
      <c r="L43" s="227">
        <f>H43/(O43+P43+Q43+R43+S43+T43+U43+V43+W43+X43)*100</f>
        <v>22.895684450435038</v>
      </c>
      <c r="M43" s="218"/>
      <c r="N43" s="220">
        <f t="shared" si="0"/>
        <v>26908263.41</v>
      </c>
      <c r="O43" s="198">
        <f>O44</f>
        <v>471102.4199999999</v>
      </c>
      <c r="P43" s="175">
        <f aca="true" t="shared" si="10" ref="P43:Z43">P44</f>
        <v>0</v>
      </c>
      <c r="Q43" s="175">
        <f t="shared" si="10"/>
        <v>0</v>
      </c>
      <c r="R43" s="175">
        <f t="shared" si="10"/>
        <v>446782.66</v>
      </c>
      <c r="S43" s="175">
        <f t="shared" si="10"/>
        <v>2622872.3</v>
      </c>
      <c r="T43" s="175">
        <f t="shared" si="10"/>
        <v>1808135.9700000002</v>
      </c>
      <c r="U43" s="175">
        <f t="shared" si="10"/>
        <v>8541948.33</v>
      </c>
      <c r="V43" s="175">
        <f t="shared" si="10"/>
        <v>13598346.28</v>
      </c>
      <c r="W43" s="175">
        <f t="shared" si="10"/>
        <v>7067000</v>
      </c>
      <c r="X43" s="175">
        <f t="shared" si="10"/>
        <v>342330</v>
      </c>
      <c r="Y43" s="175">
        <f t="shared" si="10"/>
        <v>0</v>
      </c>
      <c r="Z43" s="175">
        <f t="shared" si="10"/>
        <v>34898517.96</v>
      </c>
    </row>
    <row r="44" spans="1:27" s="131" customFormat="1" ht="26.25" customHeight="1">
      <c r="A44" s="133" t="s">
        <v>519</v>
      </c>
      <c r="B44" s="159" t="s">
        <v>22</v>
      </c>
      <c r="C44" s="159" t="s">
        <v>22</v>
      </c>
      <c r="D44" s="163">
        <f>SUM(D45:D86)</f>
        <v>34898517.96</v>
      </c>
      <c r="E44" s="163"/>
      <c r="F44" s="163">
        <f>SUM(F45:F86)</f>
        <v>34898517.96</v>
      </c>
      <c r="G44" s="163">
        <f>SUM(G45:G86)</f>
        <v>34898517.96</v>
      </c>
      <c r="H44" s="177">
        <f>SUM(H45:H86)</f>
        <v>7990254.55</v>
      </c>
      <c r="I44" s="225"/>
      <c r="J44" s="225"/>
      <c r="K44" s="225"/>
      <c r="L44" s="214">
        <f>H44/(O44+P44+Q44+R44+S44+T44+U44+V44+W44+X44)*100</f>
        <v>22.895684450435038</v>
      </c>
      <c r="M44" s="217"/>
      <c r="N44" s="220">
        <f t="shared" si="0"/>
        <v>26908263.41</v>
      </c>
      <c r="O44" s="201">
        <f>SUM(O45:O86)</f>
        <v>471102.4199999999</v>
      </c>
      <c r="P44" s="177">
        <f aca="true" t="shared" si="11" ref="P44:Y44">SUM(P45:P86)</f>
        <v>0</v>
      </c>
      <c r="Q44" s="177">
        <f t="shared" si="11"/>
        <v>0</v>
      </c>
      <c r="R44" s="177">
        <f t="shared" si="11"/>
        <v>446782.66</v>
      </c>
      <c r="S44" s="177">
        <f t="shared" si="11"/>
        <v>2622872.3</v>
      </c>
      <c r="T44" s="177">
        <f>SUM(T45:T86)</f>
        <v>1808135.9700000002</v>
      </c>
      <c r="U44" s="177">
        <f t="shared" si="11"/>
        <v>8541948.33</v>
      </c>
      <c r="V44" s="177">
        <f t="shared" si="11"/>
        <v>13598346.28</v>
      </c>
      <c r="W44" s="177">
        <f>SUM(W45:W86)</f>
        <v>7067000</v>
      </c>
      <c r="X44" s="177">
        <f t="shared" si="11"/>
        <v>342330</v>
      </c>
      <c r="Y44" s="177">
        <f t="shared" si="11"/>
        <v>0</v>
      </c>
      <c r="Z44" s="177">
        <f>SUM(Z45:Z86)</f>
        <v>34898517.96</v>
      </c>
      <c r="AA44" s="232">
        <f>D44-Z44</f>
        <v>0</v>
      </c>
    </row>
    <row r="45" spans="1:27" s="131" customFormat="1" ht="37.5">
      <c r="A45" s="133"/>
      <c r="B45" s="159"/>
      <c r="C45" s="137" t="s">
        <v>163</v>
      </c>
      <c r="D45" s="160">
        <f aca="true" t="shared" si="12" ref="D45:D86">F45</f>
        <v>340716.12</v>
      </c>
      <c r="E45" s="130"/>
      <c r="F45" s="155">
        <f aca="true" t="shared" si="13" ref="F45:F86">G45</f>
        <v>340716.12</v>
      </c>
      <c r="G45" s="155">
        <f>49960.56+220755.56+70000</f>
        <v>340716.12</v>
      </c>
      <c r="H45" s="204">
        <f>49960.56+129808.8</f>
        <v>179769.36</v>
      </c>
      <c r="I45" s="222"/>
      <c r="J45" s="222"/>
      <c r="K45" s="222"/>
      <c r="L45" s="209">
        <f>H45/(O45+P45+Q45+R45+S45+T45+U45+V45+W45+X45)*100</f>
        <v>52.76221154432024</v>
      </c>
      <c r="M45" s="216"/>
      <c r="N45" s="221">
        <f t="shared" si="0"/>
        <v>160946.76</v>
      </c>
      <c r="O45" s="202">
        <v>49960.56</v>
      </c>
      <c r="P45" s="174"/>
      <c r="Q45" s="174"/>
      <c r="R45" s="178">
        <v>100000</v>
      </c>
      <c r="S45" s="178">
        <v>120755.56</v>
      </c>
      <c r="T45" s="174"/>
      <c r="U45" s="174"/>
      <c r="V45" s="174"/>
      <c r="W45" s="174"/>
      <c r="X45" s="173">
        <f>70000</f>
        <v>70000</v>
      </c>
      <c r="Y45" s="174"/>
      <c r="Z45" s="182">
        <f>SUM(O45:Y45)</f>
        <v>340716.12</v>
      </c>
      <c r="AA45" s="232">
        <f aca="true" t="shared" si="14" ref="AA45:AA86">D45-Z45</f>
        <v>0</v>
      </c>
    </row>
    <row r="46" spans="1:27" s="131" customFormat="1" ht="37.5">
      <c r="A46" s="133"/>
      <c r="B46" s="159"/>
      <c r="C46" s="137" t="s">
        <v>164</v>
      </c>
      <c r="D46" s="160">
        <f t="shared" si="12"/>
        <v>207297.6</v>
      </c>
      <c r="E46" s="130"/>
      <c r="F46" s="155">
        <f t="shared" si="13"/>
        <v>207297.6</v>
      </c>
      <c r="G46" s="155">
        <f>8949.6+148000+348+50000</f>
        <v>207297.6</v>
      </c>
      <c r="H46" s="204">
        <f>348+8949.6+75342+87058+2772.48</f>
        <v>174470.08000000002</v>
      </c>
      <c r="I46" s="222"/>
      <c r="J46" s="222"/>
      <c r="K46" s="222"/>
      <c r="L46" s="209">
        <f aca="true" t="shared" si="15" ref="L46:L85">H46/(O46+P46+Q46+R46+S46+T46+U46+V46+W46+X46)*100</f>
        <v>84.16406171610285</v>
      </c>
      <c r="M46" s="216"/>
      <c r="N46" s="221">
        <f t="shared" si="0"/>
        <v>32827.51999999999</v>
      </c>
      <c r="O46" s="202">
        <v>9297.6</v>
      </c>
      <c r="P46" s="174"/>
      <c r="Q46" s="174"/>
      <c r="R46" s="178">
        <v>50000</v>
      </c>
      <c r="S46" s="178">
        <v>50000</v>
      </c>
      <c r="T46" s="178">
        <v>48000</v>
      </c>
      <c r="U46" s="174"/>
      <c r="V46" s="173">
        <v>50000</v>
      </c>
      <c r="W46" s="174"/>
      <c r="X46" s="174"/>
      <c r="Y46" s="174"/>
      <c r="Z46" s="182">
        <f>SUM(O46:Y46)</f>
        <v>207297.6</v>
      </c>
      <c r="AA46" s="232">
        <f t="shared" si="14"/>
        <v>0</v>
      </c>
    </row>
    <row r="47" spans="1:27" s="131" customFormat="1" ht="37.5">
      <c r="A47" s="133"/>
      <c r="B47" s="159"/>
      <c r="C47" s="137" t="s">
        <v>13</v>
      </c>
      <c r="D47" s="155">
        <f t="shared" si="12"/>
        <v>9924</v>
      </c>
      <c r="E47" s="155"/>
      <c r="F47" s="155">
        <f t="shared" si="13"/>
        <v>9924</v>
      </c>
      <c r="G47" s="155">
        <v>9924</v>
      </c>
      <c r="H47" s="204">
        <v>9924</v>
      </c>
      <c r="I47" s="222"/>
      <c r="J47" s="222"/>
      <c r="K47" s="222"/>
      <c r="L47" s="209">
        <f t="shared" si="15"/>
        <v>100</v>
      </c>
      <c r="M47" s="216"/>
      <c r="N47" s="221">
        <f t="shared" si="0"/>
        <v>0</v>
      </c>
      <c r="O47" s="202">
        <v>9924</v>
      </c>
      <c r="P47" s="174"/>
      <c r="Q47" s="174"/>
      <c r="R47" s="174"/>
      <c r="S47" s="174"/>
      <c r="T47" s="174"/>
      <c r="U47" s="174"/>
      <c r="V47" s="174"/>
      <c r="W47" s="174"/>
      <c r="X47" s="174"/>
      <c r="Y47" s="174"/>
      <c r="Z47" s="182">
        <f t="shared" si="4"/>
        <v>9924</v>
      </c>
      <c r="AA47" s="232">
        <f t="shared" si="14"/>
        <v>0</v>
      </c>
    </row>
    <row r="48" spans="1:27" s="131" customFormat="1" ht="37.5">
      <c r="A48" s="133"/>
      <c r="B48" s="159"/>
      <c r="C48" s="137" t="s">
        <v>14</v>
      </c>
      <c r="D48" s="155">
        <f t="shared" si="12"/>
        <v>6499.4</v>
      </c>
      <c r="E48" s="155"/>
      <c r="F48" s="155">
        <f t="shared" si="13"/>
        <v>6499.4</v>
      </c>
      <c r="G48" s="155">
        <v>6499.4</v>
      </c>
      <c r="H48" s="204">
        <v>6499.4</v>
      </c>
      <c r="I48" s="222"/>
      <c r="J48" s="222"/>
      <c r="K48" s="222"/>
      <c r="L48" s="209">
        <f t="shared" si="15"/>
        <v>100</v>
      </c>
      <c r="M48" s="216"/>
      <c r="N48" s="221">
        <f t="shared" si="0"/>
        <v>0</v>
      </c>
      <c r="O48" s="202">
        <v>6499.4</v>
      </c>
      <c r="P48" s="174"/>
      <c r="Q48" s="174"/>
      <c r="R48" s="174"/>
      <c r="S48" s="174"/>
      <c r="T48" s="174"/>
      <c r="U48" s="174"/>
      <c r="V48" s="174"/>
      <c r="W48" s="174"/>
      <c r="X48" s="174"/>
      <c r="Y48" s="174"/>
      <c r="Z48" s="182">
        <f t="shared" si="4"/>
        <v>6499.4</v>
      </c>
      <c r="AA48" s="232">
        <f t="shared" si="14"/>
        <v>0</v>
      </c>
    </row>
    <row r="49" spans="1:27" s="131" customFormat="1" ht="37.5">
      <c r="A49" s="133"/>
      <c r="B49" s="159"/>
      <c r="C49" s="137" t="s">
        <v>15</v>
      </c>
      <c r="D49" s="155">
        <f t="shared" si="12"/>
        <v>27770.4</v>
      </c>
      <c r="E49" s="155"/>
      <c r="F49" s="155">
        <f t="shared" si="13"/>
        <v>27770.4</v>
      </c>
      <c r="G49" s="155">
        <v>27770.4</v>
      </c>
      <c r="H49" s="204">
        <v>27770.4</v>
      </c>
      <c r="I49" s="222"/>
      <c r="J49" s="222"/>
      <c r="K49" s="222"/>
      <c r="L49" s="209">
        <f t="shared" si="15"/>
        <v>100</v>
      </c>
      <c r="M49" s="216"/>
      <c r="N49" s="221">
        <f t="shared" si="0"/>
        <v>0</v>
      </c>
      <c r="O49" s="202">
        <v>27770.4</v>
      </c>
      <c r="P49" s="174"/>
      <c r="Q49" s="174"/>
      <c r="R49" s="174"/>
      <c r="S49" s="174"/>
      <c r="T49" s="174"/>
      <c r="U49" s="174"/>
      <c r="V49" s="174"/>
      <c r="W49" s="174"/>
      <c r="X49" s="174"/>
      <c r="Y49" s="174"/>
      <c r="Z49" s="182">
        <f t="shared" si="4"/>
        <v>27770.4</v>
      </c>
      <c r="AA49" s="232">
        <f t="shared" si="14"/>
        <v>0</v>
      </c>
    </row>
    <row r="50" spans="1:27" s="131" customFormat="1" ht="37.5">
      <c r="A50" s="133"/>
      <c r="B50" s="159"/>
      <c r="C50" s="137" t="s">
        <v>165</v>
      </c>
      <c r="D50" s="155">
        <f t="shared" si="12"/>
        <v>285769</v>
      </c>
      <c r="E50" s="155"/>
      <c r="F50" s="155">
        <f t="shared" si="13"/>
        <v>285769</v>
      </c>
      <c r="G50" s="155">
        <f>12769+273000</f>
        <v>285769</v>
      </c>
      <c r="H50" s="204">
        <f>12769+122436.5+118554.5+3568+3957.43+1479</f>
        <v>262764.43</v>
      </c>
      <c r="I50" s="222"/>
      <c r="J50" s="222"/>
      <c r="K50" s="222"/>
      <c r="L50" s="209">
        <f t="shared" si="15"/>
        <v>91.9499420860905</v>
      </c>
      <c r="M50" s="216"/>
      <c r="N50" s="221">
        <f t="shared" si="0"/>
        <v>23004.570000000007</v>
      </c>
      <c r="O50" s="202">
        <v>12769</v>
      </c>
      <c r="P50" s="174"/>
      <c r="Q50" s="174"/>
      <c r="R50" s="178">
        <v>90000</v>
      </c>
      <c r="S50" s="178">
        <v>90000</v>
      </c>
      <c r="T50" s="178">
        <v>93000</v>
      </c>
      <c r="U50" s="178"/>
      <c r="V50" s="174"/>
      <c r="W50" s="174"/>
      <c r="X50" s="174"/>
      <c r="Y50" s="174"/>
      <c r="Z50" s="182">
        <f t="shared" si="4"/>
        <v>285769</v>
      </c>
      <c r="AA50" s="232">
        <f t="shared" si="14"/>
        <v>0</v>
      </c>
    </row>
    <row r="51" spans="1:27" s="131" customFormat="1" ht="27.75" customHeight="1">
      <c r="A51" s="133"/>
      <c r="B51" s="159"/>
      <c r="C51" s="137" t="s">
        <v>166</v>
      </c>
      <c r="D51" s="155">
        <f t="shared" si="12"/>
        <v>299850</v>
      </c>
      <c r="E51" s="155"/>
      <c r="F51" s="155">
        <f t="shared" si="13"/>
        <v>299850</v>
      </c>
      <c r="G51" s="155">
        <f>99850+200000</f>
        <v>299850</v>
      </c>
      <c r="H51" s="204">
        <f>99850</f>
        <v>99850</v>
      </c>
      <c r="I51" s="222"/>
      <c r="J51" s="222"/>
      <c r="K51" s="222"/>
      <c r="L51" s="209">
        <f t="shared" si="15"/>
        <v>33.29998332499583</v>
      </c>
      <c r="M51" s="216"/>
      <c r="N51" s="221">
        <f t="shared" si="0"/>
        <v>200000</v>
      </c>
      <c r="O51" s="202">
        <v>99850</v>
      </c>
      <c r="P51" s="174"/>
      <c r="Q51" s="174"/>
      <c r="R51" s="174"/>
      <c r="S51" s="178">
        <v>70000</v>
      </c>
      <c r="T51" s="178"/>
      <c r="U51" s="178">
        <v>130000</v>
      </c>
      <c r="V51" s="174"/>
      <c r="W51" s="174"/>
      <c r="X51" s="174"/>
      <c r="Y51" s="174"/>
      <c r="Z51" s="182">
        <f t="shared" si="4"/>
        <v>299850</v>
      </c>
      <c r="AA51" s="232">
        <f t="shared" si="14"/>
        <v>0</v>
      </c>
    </row>
    <row r="52" spans="1:27" s="131" customFormat="1" ht="37.5">
      <c r="A52" s="133"/>
      <c r="B52" s="159"/>
      <c r="C52" s="137" t="s">
        <v>17</v>
      </c>
      <c r="D52" s="155">
        <f t="shared" si="12"/>
        <v>32192</v>
      </c>
      <c r="E52" s="155"/>
      <c r="F52" s="155">
        <f t="shared" si="13"/>
        <v>32192</v>
      </c>
      <c r="G52" s="155">
        <v>32192</v>
      </c>
      <c r="H52" s="204">
        <f>32192</f>
        <v>32192</v>
      </c>
      <c r="I52" s="222"/>
      <c r="J52" s="222"/>
      <c r="K52" s="222"/>
      <c r="L52" s="209">
        <f t="shared" si="15"/>
        <v>100</v>
      </c>
      <c r="M52" s="216"/>
      <c r="N52" s="221">
        <f t="shared" si="0"/>
        <v>0</v>
      </c>
      <c r="O52" s="202">
        <v>32192</v>
      </c>
      <c r="P52" s="174"/>
      <c r="Q52" s="174"/>
      <c r="R52" s="174"/>
      <c r="S52" s="174"/>
      <c r="T52" s="174"/>
      <c r="U52" s="174"/>
      <c r="V52" s="174"/>
      <c r="W52" s="174"/>
      <c r="X52" s="174"/>
      <c r="Y52" s="174"/>
      <c r="Z52" s="182">
        <f t="shared" si="4"/>
        <v>32192</v>
      </c>
      <c r="AA52" s="232">
        <f t="shared" si="14"/>
        <v>0</v>
      </c>
    </row>
    <row r="53" spans="1:27" s="131" customFormat="1" ht="37.5" customHeight="1">
      <c r="A53" s="133"/>
      <c r="B53" s="159"/>
      <c r="C53" s="137" t="s">
        <v>18</v>
      </c>
      <c r="D53" s="155">
        <f t="shared" si="12"/>
        <v>825.71</v>
      </c>
      <c r="E53" s="155"/>
      <c r="F53" s="155">
        <f t="shared" si="13"/>
        <v>825.71</v>
      </c>
      <c r="G53" s="155">
        <v>825.71</v>
      </c>
      <c r="H53" s="204">
        <v>825.71</v>
      </c>
      <c r="I53" s="222"/>
      <c r="J53" s="222"/>
      <c r="K53" s="222"/>
      <c r="L53" s="209">
        <f t="shared" si="15"/>
        <v>100</v>
      </c>
      <c r="M53" s="216"/>
      <c r="N53" s="221">
        <f t="shared" si="0"/>
        <v>0</v>
      </c>
      <c r="O53" s="202">
        <v>825.71</v>
      </c>
      <c r="P53" s="174"/>
      <c r="Q53" s="174"/>
      <c r="R53" s="174"/>
      <c r="S53" s="174"/>
      <c r="T53" s="174"/>
      <c r="U53" s="174"/>
      <c r="V53" s="174"/>
      <c r="W53" s="174"/>
      <c r="X53" s="174"/>
      <c r="Y53" s="174"/>
      <c r="Z53" s="182">
        <f t="shared" si="4"/>
        <v>825.71</v>
      </c>
      <c r="AA53" s="232">
        <f t="shared" si="14"/>
        <v>0</v>
      </c>
    </row>
    <row r="54" spans="1:27" s="131" customFormat="1" ht="37.5" customHeight="1">
      <c r="A54" s="133"/>
      <c r="B54" s="159"/>
      <c r="C54" s="137" t="s">
        <v>167</v>
      </c>
      <c r="D54" s="155">
        <f t="shared" si="12"/>
        <v>161325.71000000002</v>
      </c>
      <c r="E54" s="155"/>
      <c r="F54" s="155">
        <f t="shared" si="13"/>
        <v>161325.71000000002</v>
      </c>
      <c r="G54" s="155">
        <f>825.71+125500+35000</f>
        <v>161325.71000000002</v>
      </c>
      <c r="H54" s="204">
        <f>825.71+452.29</f>
        <v>1278</v>
      </c>
      <c r="I54" s="222"/>
      <c r="J54" s="222"/>
      <c r="K54" s="222"/>
      <c r="L54" s="209">
        <f t="shared" si="15"/>
        <v>0.7921861927649348</v>
      </c>
      <c r="M54" s="216"/>
      <c r="N54" s="221">
        <f t="shared" si="0"/>
        <v>160047.71000000002</v>
      </c>
      <c r="O54" s="202">
        <v>825.71</v>
      </c>
      <c r="P54" s="174"/>
      <c r="Q54" s="174"/>
      <c r="R54" s="174"/>
      <c r="S54" s="178">
        <v>87850</v>
      </c>
      <c r="T54" s="178">
        <v>37650</v>
      </c>
      <c r="U54" s="178"/>
      <c r="V54" s="178">
        <v>35000</v>
      </c>
      <c r="W54" s="174"/>
      <c r="X54" s="174"/>
      <c r="Y54" s="174"/>
      <c r="Z54" s="182">
        <f t="shared" si="4"/>
        <v>161325.71000000002</v>
      </c>
      <c r="AA54" s="232">
        <f t="shared" si="14"/>
        <v>0</v>
      </c>
    </row>
    <row r="55" spans="1:27" s="131" customFormat="1" ht="37.5" customHeight="1">
      <c r="A55" s="133"/>
      <c r="B55" s="159"/>
      <c r="C55" s="137" t="s">
        <v>19</v>
      </c>
      <c r="D55" s="155">
        <f t="shared" si="12"/>
        <v>825.71</v>
      </c>
      <c r="E55" s="155"/>
      <c r="F55" s="155">
        <f t="shared" si="13"/>
        <v>825.71</v>
      </c>
      <c r="G55" s="155">
        <v>825.71</v>
      </c>
      <c r="H55" s="204">
        <v>825.71</v>
      </c>
      <c r="I55" s="222"/>
      <c r="J55" s="222"/>
      <c r="K55" s="222"/>
      <c r="L55" s="209">
        <f t="shared" si="15"/>
        <v>100</v>
      </c>
      <c r="M55" s="216"/>
      <c r="N55" s="221">
        <f t="shared" si="0"/>
        <v>0</v>
      </c>
      <c r="O55" s="202">
        <v>825.71</v>
      </c>
      <c r="P55" s="174"/>
      <c r="Q55" s="174"/>
      <c r="R55" s="174"/>
      <c r="S55" s="174"/>
      <c r="T55" s="174"/>
      <c r="U55" s="174"/>
      <c r="V55" s="174"/>
      <c r="W55" s="174"/>
      <c r="X55" s="174"/>
      <c r="Y55" s="174"/>
      <c r="Z55" s="182">
        <f t="shared" si="4"/>
        <v>825.71</v>
      </c>
      <c r="AA55" s="232">
        <f t="shared" si="14"/>
        <v>0</v>
      </c>
    </row>
    <row r="56" spans="1:27" s="131" customFormat="1" ht="37.5" customHeight="1">
      <c r="A56" s="133"/>
      <c r="B56" s="159"/>
      <c r="C56" s="137" t="s">
        <v>168</v>
      </c>
      <c r="D56" s="155">
        <f t="shared" si="12"/>
        <v>137769.11</v>
      </c>
      <c r="E56" s="155"/>
      <c r="F56" s="155">
        <f t="shared" si="13"/>
        <v>137769.11</v>
      </c>
      <c r="G56" s="155">
        <f>95769.11+45000-3000</f>
        <v>137769.11</v>
      </c>
      <c r="H56" s="204">
        <f>95769.11</f>
        <v>95769.11</v>
      </c>
      <c r="I56" s="222"/>
      <c r="J56" s="222"/>
      <c r="K56" s="222"/>
      <c r="L56" s="209">
        <f t="shared" si="15"/>
        <v>69.51421113194388</v>
      </c>
      <c r="M56" s="216"/>
      <c r="N56" s="221">
        <f t="shared" si="0"/>
        <v>41999.999999999985</v>
      </c>
      <c r="O56" s="202">
        <v>95769.11</v>
      </c>
      <c r="P56" s="174"/>
      <c r="Q56" s="174"/>
      <c r="R56" s="178">
        <v>15000</v>
      </c>
      <c r="S56" s="178">
        <v>-3000</v>
      </c>
      <c r="T56" s="178">
        <v>30000</v>
      </c>
      <c r="U56" s="174"/>
      <c r="V56" s="174"/>
      <c r="W56" s="174"/>
      <c r="X56" s="174"/>
      <c r="Y56" s="174"/>
      <c r="Z56" s="182">
        <f t="shared" si="4"/>
        <v>137769.11</v>
      </c>
      <c r="AA56" s="232">
        <f t="shared" si="14"/>
        <v>0</v>
      </c>
    </row>
    <row r="57" spans="1:27" s="226" customFormat="1" ht="60" customHeight="1">
      <c r="A57" s="133"/>
      <c r="B57" s="159"/>
      <c r="C57" s="137" t="s">
        <v>316</v>
      </c>
      <c r="D57" s="155">
        <f t="shared" si="12"/>
        <v>363795</v>
      </c>
      <c r="E57" s="155"/>
      <c r="F57" s="155">
        <f t="shared" si="13"/>
        <v>363795</v>
      </c>
      <c r="G57" s="155">
        <f>11795+352000</f>
        <v>363795</v>
      </c>
      <c r="H57" s="204">
        <f>11795+333655+5391.71+1109</f>
        <v>351950.71</v>
      </c>
      <c r="I57" s="222"/>
      <c r="J57" s="222"/>
      <c r="K57" s="222"/>
      <c r="L57" s="209">
        <f t="shared" si="15"/>
        <v>96.74424057504915</v>
      </c>
      <c r="M57" s="216"/>
      <c r="N57" s="221">
        <f t="shared" si="0"/>
        <v>11844.289999999979</v>
      </c>
      <c r="O57" s="182">
        <v>11795</v>
      </c>
      <c r="P57" s="182"/>
      <c r="Q57" s="182"/>
      <c r="R57" s="182"/>
      <c r="S57" s="182">
        <v>200000</v>
      </c>
      <c r="T57" s="182">
        <v>152000</v>
      </c>
      <c r="U57" s="182"/>
      <c r="V57" s="182"/>
      <c r="W57" s="182"/>
      <c r="X57" s="182"/>
      <c r="Y57" s="182"/>
      <c r="Z57" s="182">
        <f t="shared" si="4"/>
        <v>363795</v>
      </c>
      <c r="AA57" s="232">
        <f t="shared" si="14"/>
        <v>0</v>
      </c>
    </row>
    <row r="58" spans="1:27" s="131" customFormat="1" ht="56.25" customHeight="1">
      <c r="A58" s="133"/>
      <c r="B58" s="159"/>
      <c r="C58" s="137" t="s">
        <v>169</v>
      </c>
      <c r="D58" s="155">
        <f t="shared" si="12"/>
        <v>348605.17000000004</v>
      </c>
      <c r="E58" s="155"/>
      <c r="F58" s="155">
        <f t="shared" si="13"/>
        <v>348605.17000000004</v>
      </c>
      <c r="G58" s="155">
        <f>108605.17+753000-743000+230000</f>
        <v>348605.17000000004</v>
      </c>
      <c r="H58" s="204">
        <f>108605.17+115000</f>
        <v>223605.16999999998</v>
      </c>
      <c r="I58" s="222"/>
      <c r="J58" s="222"/>
      <c r="K58" s="222"/>
      <c r="L58" s="209">
        <f t="shared" si="15"/>
        <v>64.14281520839177</v>
      </c>
      <c r="M58" s="216"/>
      <c r="N58" s="221">
        <f t="shared" si="0"/>
        <v>125000</v>
      </c>
      <c r="O58" s="202">
        <v>108605.17</v>
      </c>
      <c r="P58" s="174"/>
      <c r="Q58" s="174"/>
      <c r="R58" s="174"/>
      <c r="S58" s="178">
        <v>10000</v>
      </c>
      <c r="T58" s="174"/>
      <c r="U58" s="174"/>
      <c r="V58" s="178">
        <v>230000</v>
      </c>
      <c r="W58" s="174"/>
      <c r="X58" s="174"/>
      <c r="Y58" s="174"/>
      <c r="Z58" s="182">
        <f t="shared" si="4"/>
        <v>348605.17</v>
      </c>
      <c r="AA58" s="232">
        <f t="shared" si="14"/>
        <v>0</v>
      </c>
    </row>
    <row r="59" spans="1:27" s="131" customFormat="1" ht="37.5" customHeight="1">
      <c r="A59" s="133"/>
      <c r="B59" s="159"/>
      <c r="C59" s="137" t="s">
        <v>170</v>
      </c>
      <c r="D59" s="155">
        <f t="shared" si="12"/>
        <v>476293.05</v>
      </c>
      <c r="E59" s="155"/>
      <c r="F59" s="155">
        <f t="shared" si="13"/>
        <v>476293.05</v>
      </c>
      <c r="G59" s="155">
        <f>4193.05+2100+470000</f>
        <v>476293.05</v>
      </c>
      <c r="H59" s="204">
        <f>4193.05+2051.95+226060+233314.52</f>
        <v>465619.52</v>
      </c>
      <c r="I59" s="222"/>
      <c r="J59" s="222"/>
      <c r="K59" s="222"/>
      <c r="L59" s="209">
        <f t="shared" si="15"/>
        <v>97.75904141368429</v>
      </c>
      <c r="M59" s="216"/>
      <c r="N59" s="221">
        <f t="shared" si="0"/>
        <v>10673.52999999997</v>
      </c>
      <c r="O59" s="202">
        <v>4193.05</v>
      </c>
      <c r="P59" s="174"/>
      <c r="Q59" s="174"/>
      <c r="R59" s="178">
        <v>2100</v>
      </c>
      <c r="S59" s="174"/>
      <c r="T59" s="174"/>
      <c r="U59" s="174"/>
      <c r="V59" s="178">
        <v>470000</v>
      </c>
      <c r="W59" s="178"/>
      <c r="X59" s="178"/>
      <c r="Y59" s="178"/>
      <c r="Z59" s="182">
        <f t="shared" si="4"/>
        <v>476293.05</v>
      </c>
      <c r="AA59" s="232">
        <f t="shared" si="14"/>
        <v>0</v>
      </c>
    </row>
    <row r="60" spans="1:27" s="131" customFormat="1" ht="18.75" hidden="1">
      <c r="A60" s="138"/>
      <c r="B60" s="138"/>
      <c r="C60" s="137"/>
      <c r="D60" s="155">
        <f t="shared" si="12"/>
        <v>0</v>
      </c>
      <c r="E60" s="155"/>
      <c r="F60" s="155">
        <f t="shared" si="13"/>
        <v>0</v>
      </c>
      <c r="G60" s="155"/>
      <c r="H60" s="204"/>
      <c r="I60" s="222"/>
      <c r="J60" s="222"/>
      <c r="K60" s="222"/>
      <c r="L60" s="209" t="e">
        <f t="shared" si="15"/>
        <v>#DIV/0!</v>
      </c>
      <c r="M60" s="216"/>
      <c r="N60" s="221">
        <f t="shared" si="0"/>
        <v>0</v>
      </c>
      <c r="O60" s="188"/>
      <c r="P60" s="174"/>
      <c r="Q60" s="174"/>
      <c r="R60" s="174"/>
      <c r="S60" s="174"/>
      <c r="T60" s="174"/>
      <c r="U60" s="174"/>
      <c r="V60" s="178"/>
      <c r="W60" s="178"/>
      <c r="X60" s="178"/>
      <c r="Y60" s="178"/>
      <c r="Z60" s="182">
        <f t="shared" si="4"/>
        <v>0</v>
      </c>
      <c r="AA60" s="232">
        <f t="shared" si="14"/>
        <v>0</v>
      </c>
    </row>
    <row r="61" spans="1:27" s="131" customFormat="1" ht="26.25" customHeight="1">
      <c r="A61" s="138"/>
      <c r="B61" s="138"/>
      <c r="C61" s="137" t="s">
        <v>435</v>
      </c>
      <c r="D61" s="155">
        <f t="shared" si="12"/>
        <v>885000</v>
      </c>
      <c r="E61" s="155"/>
      <c r="F61" s="155">
        <f t="shared" si="13"/>
        <v>885000</v>
      </c>
      <c r="G61" s="155">
        <f>185000+700000</f>
        <v>885000</v>
      </c>
      <c r="H61" s="204"/>
      <c r="I61" s="222"/>
      <c r="J61" s="222"/>
      <c r="K61" s="222"/>
      <c r="L61" s="209"/>
      <c r="M61" s="216"/>
      <c r="N61" s="221">
        <f t="shared" si="0"/>
        <v>885000</v>
      </c>
      <c r="O61" s="202"/>
      <c r="P61" s="178"/>
      <c r="Q61" s="178"/>
      <c r="R61" s="178"/>
      <c r="S61" s="178">
        <v>185000</v>
      </c>
      <c r="T61" s="178"/>
      <c r="U61" s="178"/>
      <c r="V61" s="178"/>
      <c r="W61" s="178"/>
      <c r="X61" s="178">
        <v>700000</v>
      </c>
      <c r="Y61" s="178"/>
      <c r="Z61" s="182">
        <f t="shared" si="4"/>
        <v>885000</v>
      </c>
      <c r="AA61" s="232">
        <f t="shared" si="14"/>
        <v>0</v>
      </c>
    </row>
    <row r="62" spans="1:27" s="131" customFormat="1" ht="25.5" customHeight="1">
      <c r="A62" s="138"/>
      <c r="B62" s="138"/>
      <c r="C62" s="137" t="s">
        <v>40</v>
      </c>
      <c r="D62" s="155">
        <f t="shared" si="12"/>
        <v>200000</v>
      </c>
      <c r="E62" s="155"/>
      <c r="F62" s="155">
        <f t="shared" si="13"/>
        <v>200000</v>
      </c>
      <c r="G62" s="155">
        <f>200000</f>
        <v>200000</v>
      </c>
      <c r="H62" s="204"/>
      <c r="I62" s="222"/>
      <c r="J62" s="222"/>
      <c r="K62" s="222"/>
      <c r="L62" s="209"/>
      <c r="M62" s="216"/>
      <c r="N62" s="221">
        <f t="shared" si="0"/>
        <v>200000</v>
      </c>
      <c r="O62" s="202"/>
      <c r="P62" s="178"/>
      <c r="Q62" s="178"/>
      <c r="R62" s="178"/>
      <c r="S62" s="178"/>
      <c r="T62" s="178"/>
      <c r="U62" s="178">
        <v>100000</v>
      </c>
      <c r="V62" s="178">
        <v>100000</v>
      </c>
      <c r="W62" s="178"/>
      <c r="X62" s="178"/>
      <c r="Y62" s="178"/>
      <c r="Z62" s="182">
        <f t="shared" si="4"/>
        <v>200000</v>
      </c>
      <c r="AA62" s="232">
        <f t="shared" si="14"/>
        <v>0</v>
      </c>
    </row>
    <row r="63" spans="1:27" s="131" customFormat="1" ht="18.75">
      <c r="A63" s="138"/>
      <c r="B63" s="138"/>
      <c r="C63" s="137" t="s">
        <v>171</v>
      </c>
      <c r="D63" s="155">
        <f t="shared" si="12"/>
        <v>5800000</v>
      </c>
      <c r="E63" s="155"/>
      <c r="F63" s="155">
        <f t="shared" si="13"/>
        <v>5800000</v>
      </c>
      <c r="G63" s="155">
        <f>2300000+3500000</f>
        <v>5800000</v>
      </c>
      <c r="H63" s="204">
        <v>12525.6</v>
      </c>
      <c r="I63" s="222"/>
      <c r="J63" s="222"/>
      <c r="K63" s="222"/>
      <c r="L63" s="209">
        <f t="shared" si="15"/>
        <v>0.21595862068965518</v>
      </c>
      <c r="M63" s="216"/>
      <c r="N63" s="221">
        <f t="shared" si="0"/>
        <v>5787474.4</v>
      </c>
      <c r="O63" s="202"/>
      <c r="P63" s="178"/>
      <c r="Q63" s="178"/>
      <c r="R63" s="178"/>
      <c r="S63" s="178">
        <v>760000</v>
      </c>
      <c r="T63" s="178">
        <v>760000</v>
      </c>
      <c r="U63" s="178">
        <f>780000+1750000</f>
        <v>2530000</v>
      </c>
      <c r="V63" s="178">
        <f>1750000</f>
        <v>1750000</v>
      </c>
      <c r="W63" s="178"/>
      <c r="X63" s="178"/>
      <c r="Y63" s="178"/>
      <c r="Z63" s="182">
        <f t="shared" si="4"/>
        <v>5800000</v>
      </c>
      <c r="AA63" s="232">
        <f t="shared" si="14"/>
        <v>0</v>
      </c>
    </row>
    <row r="64" spans="1:27" s="131" customFormat="1" ht="37.5">
      <c r="A64" s="138"/>
      <c r="B64" s="138"/>
      <c r="C64" s="137" t="s">
        <v>172</v>
      </c>
      <c r="D64" s="155">
        <f t="shared" si="12"/>
        <v>1536186.2</v>
      </c>
      <c r="E64" s="155"/>
      <c r="F64" s="155">
        <f t="shared" si="13"/>
        <v>1536186.2</v>
      </c>
      <c r="G64" s="155">
        <f>100000+1121000+315186.2</f>
        <v>1536186.2</v>
      </c>
      <c r="H64" s="204">
        <f>1040.4+118154.1-118154.1+118154.1</f>
        <v>119194.5</v>
      </c>
      <c r="I64" s="222"/>
      <c r="J64" s="222"/>
      <c r="K64" s="222"/>
      <c r="L64" s="209">
        <f t="shared" si="15"/>
        <v>7.7591180027525315</v>
      </c>
      <c r="M64" s="216"/>
      <c r="N64" s="221">
        <f t="shared" si="0"/>
        <v>1416991.7</v>
      </c>
      <c r="O64" s="202"/>
      <c r="P64" s="178"/>
      <c r="Q64" s="178"/>
      <c r="R64" s="178"/>
      <c r="S64" s="178">
        <v>30000</v>
      </c>
      <c r="T64" s="178"/>
      <c r="U64" s="178">
        <v>70000</v>
      </c>
      <c r="V64" s="178">
        <v>1121000</v>
      </c>
      <c r="W64" s="178">
        <f>315186.2</f>
        <v>315186.2</v>
      </c>
      <c r="X64" s="178"/>
      <c r="Y64" s="178"/>
      <c r="Z64" s="182">
        <f t="shared" si="4"/>
        <v>1536186.2</v>
      </c>
      <c r="AA64" s="232">
        <f t="shared" si="14"/>
        <v>0</v>
      </c>
    </row>
    <row r="65" spans="1:27" s="131" customFormat="1" ht="37.5">
      <c r="A65" s="138"/>
      <c r="B65" s="138"/>
      <c r="C65" s="137" t="s">
        <v>173</v>
      </c>
      <c r="D65" s="155">
        <f t="shared" si="12"/>
        <v>1505280.2</v>
      </c>
      <c r="E65" s="155"/>
      <c r="F65" s="155">
        <f t="shared" si="13"/>
        <v>1505280.2</v>
      </c>
      <c r="G65" s="155">
        <f>100000+1481000-75719.8</f>
        <v>1505280.2</v>
      </c>
      <c r="H65" s="204">
        <f>1038+118724.46-118724.46+118724.46+498353.95</f>
        <v>618116.41</v>
      </c>
      <c r="I65" s="222"/>
      <c r="J65" s="222"/>
      <c r="K65" s="222"/>
      <c r="L65" s="209">
        <f t="shared" si="15"/>
        <v>41.06321268292774</v>
      </c>
      <c r="M65" s="216"/>
      <c r="N65" s="221">
        <f t="shared" si="0"/>
        <v>887163.7899999999</v>
      </c>
      <c r="O65" s="202"/>
      <c r="P65" s="178"/>
      <c r="Q65" s="178"/>
      <c r="R65" s="178"/>
      <c r="S65" s="178">
        <v>29000</v>
      </c>
      <c r="T65" s="178"/>
      <c r="U65" s="178">
        <v>71000</v>
      </c>
      <c r="V65" s="178">
        <f>1481000-300000</f>
        <v>1181000</v>
      </c>
      <c r="W65" s="178">
        <f>-75719.8</f>
        <v>-75719.8</v>
      </c>
      <c r="X65" s="178">
        <v>300000</v>
      </c>
      <c r="Y65" s="178"/>
      <c r="Z65" s="182">
        <f t="shared" si="4"/>
        <v>1505280.2</v>
      </c>
      <c r="AA65" s="232">
        <f t="shared" si="14"/>
        <v>0</v>
      </c>
    </row>
    <row r="66" spans="1:27" s="131" customFormat="1" ht="37.5">
      <c r="A66" s="138"/>
      <c r="B66" s="138"/>
      <c r="C66" s="137" t="s">
        <v>174</v>
      </c>
      <c r="D66" s="155">
        <f t="shared" si="12"/>
        <v>4021130.6</v>
      </c>
      <c r="E66" s="155"/>
      <c r="F66" s="155">
        <f t="shared" si="13"/>
        <v>4021130.6</v>
      </c>
      <c r="G66" s="155">
        <f>100000+3641000+280130.6</f>
        <v>4021130.6</v>
      </c>
      <c r="H66" s="204">
        <f>1365.6+310558.86-310558.86+310558.86</f>
        <v>311924.45999999996</v>
      </c>
      <c r="I66" s="222"/>
      <c r="J66" s="222"/>
      <c r="K66" s="222"/>
      <c r="L66" s="209">
        <f t="shared" si="15"/>
        <v>7.757133279879046</v>
      </c>
      <c r="M66" s="216"/>
      <c r="N66" s="221">
        <f t="shared" si="0"/>
        <v>3709206.14</v>
      </c>
      <c r="O66" s="202"/>
      <c r="P66" s="178"/>
      <c r="Q66" s="178"/>
      <c r="R66" s="178"/>
      <c r="S66" s="178">
        <v>10000</v>
      </c>
      <c r="T66" s="178"/>
      <c r="U66" s="178">
        <f>90000+1820500</f>
        <v>1910500</v>
      </c>
      <c r="V66" s="178">
        <f>1820500</f>
        <v>1820500</v>
      </c>
      <c r="W66" s="178">
        <f>280130.6</f>
        <v>280130.6</v>
      </c>
      <c r="X66" s="178"/>
      <c r="Y66" s="178"/>
      <c r="Z66" s="182">
        <f t="shared" si="4"/>
        <v>4021130.6</v>
      </c>
      <c r="AA66" s="232">
        <f t="shared" si="14"/>
        <v>0</v>
      </c>
    </row>
    <row r="67" spans="1:27" s="131" customFormat="1" ht="37.5">
      <c r="A67" s="138"/>
      <c r="B67" s="138"/>
      <c r="C67" s="137" t="s">
        <v>175</v>
      </c>
      <c r="D67" s="155">
        <f t="shared" si="12"/>
        <v>1194002.8</v>
      </c>
      <c r="E67" s="155"/>
      <c r="F67" s="155">
        <f t="shared" si="13"/>
        <v>1194002.8</v>
      </c>
      <c r="G67" s="155">
        <f>100000+1526000-431997.2</f>
        <v>1194002.8</v>
      </c>
      <c r="H67" s="204">
        <f>1004.4+85848.54-85848.54+85848.54</f>
        <v>86852.93999999999</v>
      </c>
      <c r="I67" s="222"/>
      <c r="J67" s="222"/>
      <c r="K67" s="222"/>
      <c r="L67" s="209">
        <f t="shared" si="15"/>
        <v>7.274098519701963</v>
      </c>
      <c r="M67" s="216"/>
      <c r="N67" s="221">
        <f t="shared" si="0"/>
        <v>1107149.86</v>
      </c>
      <c r="O67" s="202"/>
      <c r="P67" s="178"/>
      <c r="Q67" s="178"/>
      <c r="R67" s="178"/>
      <c r="S67" s="178">
        <v>55000</v>
      </c>
      <c r="T67" s="178"/>
      <c r="U67" s="178">
        <v>45000</v>
      </c>
      <c r="V67" s="178">
        <v>1526000</v>
      </c>
      <c r="W67" s="178">
        <v>-431997.2</v>
      </c>
      <c r="X67" s="178"/>
      <c r="Y67" s="178"/>
      <c r="Z67" s="182">
        <f t="shared" si="4"/>
        <v>1194002.8</v>
      </c>
      <c r="AA67" s="232">
        <f t="shared" si="14"/>
        <v>0</v>
      </c>
    </row>
    <row r="68" spans="1:27" s="131" customFormat="1" ht="37.5">
      <c r="A68" s="138"/>
      <c r="B68" s="138"/>
      <c r="C68" s="137" t="s">
        <v>176</v>
      </c>
      <c r="D68" s="155">
        <f t="shared" si="12"/>
        <v>3058980.6</v>
      </c>
      <c r="E68" s="155"/>
      <c r="F68" s="155">
        <f t="shared" si="13"/>
        <v>3058980.6</v>
      </c>
      <c r="G68" s="155">
        <f>100000+2000000+2241000-1282019.4</f>
        <v>3058980.6</v>
      </c>
      <c r="H68" s="204">
        <f>1239.6+259794.12-259794.12+259794.12</f>
        <v>261033.72</v>
      </c>
      <c r="I68" s="222"/>
      <c r="J68" s="222"/>
      <c r="K68" s="222"/>
      <c r="L68" s="209">
        <f t="shared" si="15"/>
        <v>8.533356504451188</v>
      </c>
      <c r="M68" s="216"/>
      <c r="N68" s="221">
        <f t="shared" si="0"/>
        <v>2797946.88</v>
      </c>
      <c r="O68" s="202"/>
      <c r="P68" s="178"/>
      <c r="Q68" s="178"/>
      <c r="R68" s="178"/>
      <c r="S68" s="178">
        <v>20000</v>
      </c>
      <c r="T68" s="178"/>
      <c r="U68" s="178">
        <f>80000+1000000</f>
        <v>1080000</v>
      </c>
      <c r="V68" s="178">
        <f>1000000+2241000</f>
        <v>3241000</v>
      </c>
      <c r="W68" s="178">
        <v>-1282019.4</v>
      </c>
      <c r="X68" s="178"/>
      <c r="Y68" s="178"/>
      <c r="Z68" s="182">
        <f t="shared" si="4"/>
        <v>3058980.6</v>
      </c>
      <c r="AA68" s="232">
        <f t="shared" si="14"/>
        <v>0</v>
      </c>
    </row>
    <row r="69" spans="1:27" s="131" customFormat="1" ht="37.5">
      <c r="A69" s="138"/>
      <c r="B69" s="138"/>
      <c r="C69" s="137" t="s">
        <v>177</v>
      </c>
      <c r="D69" s="155">
        <f t="shared" si="12"/>
        <v>2192168.6</v>
      </c>
      <c r="E69" s="155"/>
      <c r="F69" s="155">
        <f t="shared" si="13"/>
        <v>2192168.6</v>
      </c>
      <c r="G69" s="155">
        <f>100000+2858000-765831.4</f>
        <v>2192168.6</v>
      </c>
      <c r="H69" s="204">
        <f>1128+146217.48-146217.48+146217.48</f>
        <v>147345.48</v>
      </c>
      <c r="I69" s="222"/>
      <c r="J69" s="222"/>
      <c r="K69" s="222"/>
      <c r="L69" s="209">
        <f t="shared" si="15"/>
        <v>6.721448341154051</v>
      </c>
      <c r="M69" s="216"/>
      <c r="N69" s="221">
        <f t="shared" si="0"/>
        <v>2044823.12</v>
      </c>
      <c r="O69" s="202"/>
      <c r="P69" s="178"/>
      <c r="Q69" s="178"/>
      <c r="R69" s="178"/>
      <c r="S69" s="178">
        <v>20000</v>
      </c>
      <c r="T69" s="178"/>
      <c r="U69" s="178">
        <f>80000+1429000</f>
        <v>1509000</v>
      </c>
      <c r="V69" s="178">
        <f>1429000</f>
        <v>1429000</v>
      </c>
      <c r="W69" s="178">
        <v>-765831.4</v>
      </c>
      <c r="X69" s="178"/>
      <c r="Y69" s="178"/>
      <c r="Z69" s="182">
        <f t="shared" si="4"/>
        <v>2192168.6</v>
      </c>
      <c r="AA69" s="232">
        <f t="shared" si="14"/>
        <v>0</v>
      </c>
    </row>
    <row r="70" spans="1:27" s="131" customFormat="1" ht="18.75">
      <c r="A70" s="138"/>
      <c r="B70" s="138"/>
      <c r="C70" s="137" t="s">
        <v>178</v>
      </c>
      <c r="D70" s="155">
        <f t="shared" si="12"/>
        <v>6419330</v>
      </c>
      <c r="E70" s="155"/>
      <c r="F70" s="155">
        <f t="shared" si="13"/>
        <v>6419330</v>
      </c>
      <c r="G70" s="155">
        <f>200000+6957000-737670</f>
        <v>6419330</v>
      </c>
      <c r="H70" s="204">
        <f>9087-5997+1281.6+2934883.5</f>
        <v>2939255.1</v>
      </c>
      <c r="I70" s="222"/>
      <c r="J70" s="222"/>
      <c r="K70" s="222"/>
      <c r="L70" s="209">
        <f t="shared" si="15"/>
        <v>45.78756817300248</v>
      </c>
      <c r="M70" s="216"/>
      <c r="N70" s="221">
        <f t="shared" si="0"/>
        <v>3480074.9</v>
      </c>
      <c r="O70" s="202"/>
      <c r="P70" s="178"/>
      <c r="Q70" s="178"/>
      <c r="R70" s="178"/>
      <c r="S70" s="178">
        <v>10000</v>
      </c>
      <c r="T70" s="178"/>
      <c r="U70" s="178">
        <v>190000</v>
      </c>
      <c r="V70" s="178"/>
      <c r="W70" s="178">
        <f>6957000</f>
        <v>6957000</v>
      </c>
      <c r="X70" s="178">
        <v>-737670</v>
      </c>
      <c r="Y70" s="178"/>
      <c r="Z70" s="182">
        <f t="shared" si="4"/>
        <v>6419330</v>
      </c>
      <c r="AA70" s="232">
        <f t="shared" si="14"/>
        <v>0</v>
      </c>
    </row>
    <row r="71" spans="1:27" s="131" customFormat="1" ht="18.75">
      <c r="A71" s="138"/>
      <c r="B71" s="138"/>
      <c r="C71" s="137" t="s">
        <v>179</v>
      </c>
      <c r="D71" s="155">
        <f t="shared" si="12"/>
        <v>12893.28</v>
      </c>
      <c r="E71" s="155"/>
      <c r="F71" s="155">
        <f t="shared" si="13"/>
        <v>12893.28</v>
      </c>
      <c r="G71" s="155">
        <v>12893.28</v>
      </c>
      <c r="H71" s="204"/>
      <c r="I71" s="222"/>
      <c r="J71" s="222"/>
      <c r="K71" s="222"/>
      <c r="L71" s="209"/>
      <c r="M71" s="216"/>
      <c r="N71" s="221">
        <f>O71+P71+Q71+R71+S71+T71+U71+V71+W71+X71-H71</f>
        <v>12893.28</v>
      </c>
      <c r="O71" s="202"/>
      <c r="P71" s="178"/>
      <c r="Q71" s="178"/>
      <c r="R71" s="178"/>
      <c r="S71" s="178"/>
      <c r="T71" s="178"/>
      <c r="U71" s="178"/>
      <c r="V71" s="178">
        <v>12893.28</v>
      </c>
      <c r="W71" s="178"/>
      <c r="X71" s="178"/>
      <c r="Y71" s="178"/>
      <c r="Z71" s="182">
        <f t="shared" si="4"/>
        <v>12893.28</v>
      </c>
      <c r="AA71" s="232">
        <f t="shared" si="14"/>
        <v>0</v>
      </c>
    </row>
    <row r="72" spans="1:27" s="131" customFormat="1" ht="37.5">
      <c r="A72" s="138"/>
      <c r="B72" s="138"/>
      <c r="C72" s="137" t="s">
        <v>180</v>
      </c>
      <c r="D72" s="155">
        <f t="shared" si="12"/>
        <v>114998.6</v>
      </c>
      <c r="E72" s="155"/>
      <c r="F72" s="155">
        <f t="shared" si="13"/>
        <v>114998.6</v>
      </c>
      <c r="G72" s="155">
        <v>114998.6</v>
      </c>
      <c r="H72" s="204"/>
      <c r="I72" s="222"/>
      <c r="J72" s="222"/>
      <c r="K72" s="222"/>
      <c r="L72" s="209"/>
      <c r="M72" s="216"/>
      <c r="N72" s="221">
        <f>O72+P72+Q72+R72+S72+T72+U72+V72+W72+X72-H72</f>
        <v>114998.6</v>
      </c>
      <c r="O72" s="202"/>
      <c r="P72" s="178"/>
      <c r="Q72" s="178"/>
      <c r="R72" s="178"/>
      <c r="S72" s="178"/>
      <c r="T72" s="178">
        <v>60000</v>
      </c>
      <c r="U72" s="178">
        <v>54998.6</v>
      </c>
      <c r="V72" s="178"/>
      <c r="W72" s="178"/>
      <c r="X72" s="178"/>
      <c r="Y72" s="178"/>
      <c r="Z72" s="182">
        <f t="shared" si="4"/>
        <v>114998.6</v>
      </c>
      <c r="AA72" s="232">
        <f t="shared" si="14"/>
        <v>0</v>
      </c>
    </row>
    <row r="73" spans="1:27" s="131" customFormat="1" ht="37.5">
      <c r="A73" s="138"/>
      <c r="B73" s="138"/>
      <c r="C73" s="137" t="s">
        <v>181</v>
      </c>
      <c r="D73" s="155">
        <f t="shared" si="12"/>
        <v>117496.73</v>
      </c>
      <c r="E73" s="155"/>
      <c r="F73" s="155">
        <f t="shared" si="13"/>
        <v>117496.73</v>
      </c>
      <c r="G73" s="155">
        <v>117496.73</v>
      </c>
      <c r="H73" s="204"/>
      <c r="I73" s="222"/>
      <c r="J73" s="222"/>
      <c r="K73" s="222"/>
      <c r="L73" s="209"/>
      <c r="M73" s="216"/>
      <c r="N73" s="221">
        <f>O73+P73+Q73+R73+S73+T73+U73+V73+W73+X73-H73</f>
        <v>117496.73000000001</v>
      </c>
      <c r="O73" s="202"/>
      <c r="P73" s="178"/>
      <c r="Q73" s="178"/>
      <c r="R73" s="178"/>
      <c r="S73" s="178"/>
      <c r="T73" s="178">
        <v>60000</v>
      </c>
      <c r="U73" s="178">
        <v>57496.73</v>
      </c>
      <c r="V73" s="178"/>
      <c r="W73" s="178"/>
      <c r="X73" s="178"/>
      <c r="Y73" s="178"/>
      <c r="Z73" s="182">
        <f t="shared" si="4"/>
        <v>117496.73000000001</v>
      </c>
      <c r="AA73" s="232">
        <f t="shared" si="14"/>
        <v>0</v>
      </c>
    </row>
    <row r="74" spans="1:27" s="131" customFormat="1" ht="18.75">
      <c r="A74" s="138"/>
      <c r="B74" s="138"/>
      <c r="C74" s="137" t="s">
        <v>182</v>
      </c>
      <c r="D74" s="155">
        <f t="shared" si="12"/>
        <v>300611.39</v>
      </c>
      <c r="E74" s="155"/>
      <c r="F74" s="155">
        <f t="shared" si="13"/>
        <v>300611.39</v>
      </c>
      <c r="G74" s="155">
        <f>310611.39-10000</f>
        <v>300611.39</v>
      </c>
      <c r="H74" s="204">
        <f>146584.2+151215.36+852</f>
        <v>298651.56</v>
      </c>
      <c r="I74" s="222"/>
      <c r="J74" s="222"/>
      <c r="K74" s="222"/>
      <c r="L74" s="209">
        <f t="shared" si="15"/>
        <v>99.3480519816631</v>
      </c>
      <c r="M74" s="216"/>
      <c r="N74" s="221">
        <f>O74+P74+Q74+R74+S74+T74+U74+V74+W74+X74-H74</f>
        <v>1959.8300000000163</v>
      </c>
      <c r="O74" s="202"/>
      <c r="P74" s="178"/>
      <c r="Q74" s="178"/>
      <c r="R74" s="178"/>
      <c r="S74" s="178">
        <v>155000</v>
      </c>
      <c r="T74" s="178">
        <v>155611.39</v>
      </c>
      <c r="U74" s="178"/>
      <c r="V74" s="178"/>
      <c r="W74" s="178"/>
      <c r="X74" s="178">
        <v>-10000</v>
      </c>
      <c r="Y74" s="178"/>
      <c r="Z74" s="182">
        <f t="shared" si="4"/>
        <v>300611.39</v>
      </c>
      <c r="AA74" s="232">
        <f t="shared" si="14"/>
        <v>0</v>
      </c>
    </row>
    <row r="75" spans="1:27" s="131" customFormat="1" ht="37.5">
      <c r="A75" s="138"/>
      <c r="B75" s="138"/>
      <c r="C75" s="137" t="s">
        <v>41</v>
      </c>
      <c r="D75" s="155">
        <f t="shared" si="12"/>
        <v>2060251</v>
      </c>
      <c r="E75" s="155"/>
      <c r="F75" s="155">
        <f t="shared" si="13"/>
        <v>2060251</v>
      </c>
      <c r="G75" s="155">
        <f>100000+1960251</f>
        <v>2060251</v>
      </c>
      <c r="H75" s="204">
        <f>1334.4</f>
        <v>1334.4</v>
      </c>
      <c r="I75" s="222"/>
      <c r="J75" s="222"/>
      <c r="K75" s="222"/>
      <c r="L75" s="209">
        <f t="shared" si="15"/>
        <v>0.06476880729581008</v>
      </c>
      <c r="M75" s="216"/>
      <c r="N75" s="221">
        <f>O75+P75+Q75+R75+S75+T75+U75+V75+W75+X75-H75</f>
        <v>2058916.6</v>
      </c>
      <c r="O75" s="202"/>
      <c r="P75" s="178"/>
      <c r="Q75" s="178"/>
      <c r="R75" s="178"/>
      <c r="S75" s="178">
        <v>30000</v>
      </c>
      <c r="T75" s="178"/>
      <c r="U75" s="178">
        <v>70000</v>
      </c>
      <c r="V75" s="178"/>
      <c r="W75" s="178">
        <v>1960251</v>
      </c>
      <c r="X75" s="178"/>
      <c r="Y75" s="178"/>
      <c r="Z75" s="182">
        <f aca="true" t="shared" si="16" ref="Z75:Z92">SUM(O75:Y75)</f>
        <v>2060251</v>
      </c>
      <c r="AA75" s="232">
        <f t="shared" si="14"/>
        <v>0</v>
      </c>
    </row>
    <row r="76" spans="1:27" s="131" customFormat="1" ht="37.5">
      <c r="A76" s="138"/>
      <c r="B76" s="138"/>
      <c r="C76" s="137" t="s">
        <v>183</v>
      </c>
      <c r="D76" s="155">
        <f t="shared" si="12"/>
        <v>11780</v>
      </c>
      <c r="E76" s="155"/>
      <c r="F76" s="155">
        <f t="shared" si="13"/>
        <v>11780</v>
      </c>
      <c r="G76" s="155">
        <v>11780</v>
      </c>
      <c r="H76" s="204"/>
      <c r="I76" s="222"/>
      <c r="J76" s="222"/>
      <c r="K76" s="222"/>
      <c r="L76" s="209"/>
      <c r="M76" s="216"/>
      <c r="N76" s="221">
        <f>O76+P76+Q76+R76+S76+T76+U76+V76+W76+X76-H76</f>
        <v>11780</v>
      </c>
      <c r="O76" s="202"/>
      <c r="P76" s="178"/>
      <c r="Q76" s="178"/>
      <c r="R76" s="178">
        <v>11780</v>
      </c>
      <c r="S76" s="178"/>
      <c r="T76" s="178"/>
      <c r="U76" s="178"/>
      <c r="V76" s="178"/>
      <c r="W76" s="178"/>
      <c r="X76" s="178"/>
      <c r="Y76" s="178"/>
      <c r="Z76" s="182">
        <f t="shared" si="16"/>
        <v>11780</v>
      </c>
      <c r="AA76" s="232">
        <f t="shared" si="14"/>
        <v>0</v>
      </c>
    </row>
    <row r="77" spans="1:27" s="131" customFormat="1" ht="37.5">
      <c r="A77" s="138"/>
      <c r="B77" s="138"/>
      <c r="C77" s="137" t="s">
        <v>184</v>
      </c>
      <c r="D77" s="155">
        <f t="shared" si="12"/>
        <v>123266.74</v>
      </c>
      <c r="E77" s="155"/>
      <c r="F77" s="155">
        <f t="shared" si="13"/>
        <v>123266.74</v>
      </c>
      <c r="G77" s="155">
        <v>123266.74</v>
      </c>
      <c r="H77" s="204">
        <f>54847.2+36835.2+1415.57</f>
        <v>93097.97</v>
      </c>
      <c r="I77" s="222"/>
      <c r="J77" s="222"/>
      <c r="K77" s="222"/>
      <c r="L77" s="209">
        <f t="shared" si="15"/>
        <v>75.52562029303282</v>
      </c>
      <c r="M77" s="216"/>
      <c r="N77" s="221">
        <f>O77+P77+Q77+R77+S77+T77+U77+V77+W77+X77-H77</f>
        <v>30168.770000000004</v>
      </c>
      <c r="O77" s="202"/>
      <c r="P77" s="178"/>
      <c r="Q77" s="178"/>
      <c r="R77" s="178"/>
      <c r="S77" s="178">
        <v>123266.74</v>
      </c>
      <c r="T77" s="178"/>
      <c r="U77" s="178"/>
      <c r="V77" s="178"/>
      <c r="W77" s="178"/>
      <c r="X77" s="178"/>
      <c r="Y77" s="178"/>
      <c r="Z77" s="182">
        <f t="shared" si="16"/>
        <v>123266.74</v>
      </c>
      <c r="AA77" s="232">
        <f t="shared" si="14"/>
        <v>0</v>
      </c>
    </row>
    <row r="78" spans="1:27" s="131" customFormat="1" ht="37.5">
      <c r="A78" s="138"/>
      <c r="B78" s="138"/>
      <c r="C78" s="137" t="s">
        <v>185</v>
      </c>
      <c r="D78" s="155">
        <f t="shared" si="12"/>
        <v>1151906</v>
      </c>
      <c r="E78" s="155"/>
      <c r="F78" s="155">
        <f t="shared" si="13"/>
        <v>1151906</v>
      </c>
      <c r="G78" s="155">
        <f>416000+735906</f>
        <v>1151906</v>
      </c>
      <c r="H78" s="204">
        <f>14777+174875+355039.6+349749.6+5253.39+7592.49</f>
        <v>907287.08</v>
      </c>
      <c r="I78" s="222"/>
      <c r="J78" s="222"/>
      <c r="K78" s="222"/>
      <c r="L78" s="209">
        <f t="shared" si="15"/>
        <v>78.76398595024247</v>
      </c>
      <c r="M78" s="216"/>
      <c r="N78" s="221">
        <f>O78+P78+Q78+R78+S78+T78+U78+V78+W78+X78-H78</f>
        <v>244618.92000000004</v>
      </c>
      <c r="O78" s="202"/>
      <c r="P78" s="178"/>
      <c r="Q78" s="178"/>
      <c r="R78" s="178">
        <v>20000</v>
      </c>
      <c r="S78" s="178">
        <v>200000</v>
      </c>
      <c r="T78" s="178">
        <v>100000</v>
      </c>
      <c r="U78" s="178">
        <f>96000+367953</f>
        <v>463953</v>
      </c>
      <c r="V78" s="178">
        <v>367953</v>
      </c>
      <c r="W78" s="178"/>
      <c r="X78" s="178"/>
      <c r="Y78" s="178"/>
      <c r="Z78" s="182">
        <f t="shared" si="16"/>
        <v>1151906</v>
      </c>
      <c r="AA78" s="232">
        <f t="shared" si="14"/>
        <v>0</v>
      </c>
    </row>
    <row r="79" spans="1:27" s="131" customFormat="1" ht="37.5">
      <c r="A79" s="138"/>
      <c r="B79" s="138"/>
      <c r="C79" s="137" t="s">
        <v>186</v>
      </c>
      <c r="D79" s="155">
        <f t="shared" si="12"/>
        <v>8137.29</v>
      </c>
      <c r="E79" s="155"/>
      <c r="F79" s="155">
        <f t="shared" si="13"/>
        <v>8137.29</v>
      </c>
      <c r="G79" s="155">
        <v>8137.29</v>
      </c>
      <c r="H79" s="204"/>
      <c r="I79" s="222"/>
      <c r="J79" s="222"/>
      <c r="K79" s="222"/>
      <c r="L79" s="209"/>
      <c r="M79" s="216"/>
      <c r="N79" s="221">
        <f>O79+P79+Q79+R79+S79+T79+U79+V79+W79+X79-H79</f>
        <v>8137.29</v>
      </c>
      <c r="O79" s="202"/>
      <c r="P79" s="178"/>
      <c r="Q79" s="178"/>
      <c r="R79" s="178">
        <v>8137.29</v>
      </c>
      <c r="S79" s="178"/>
      <c r="T79" s="178"/>
      <c r="U79" s="178"/>
      <c r="V79" s="178"/>
      <c r="W79" s="178"/>
      <c r="X79" s="178"/>
      <c r="Y79" s="178"/>
      <c r="Z79" s="182">
        <f t="shared" si="16"/>
        <v>8137.29</v>
      </c>
      <c r="AA79" s="232">
        <f t="shared" si="14"/>
        <v>0</v>
      </c>
    </row>
    <row r="80" spans="1:27" s="131" customFormat="1" ht="37.5">
      <c r="A80" s="138"/>
      <c r="B80" s="138"/>
      <c r="C80" s="137" t="s">
        <v>187</v>
      </c>
      <c r="D80" s="155">
        <f t="shared" si="12"/>
        <v>49765.37</v>
      </c>
      <c r="E80" s="155"/>
      <c r="F80" s="155">
        <f t="shared" si="13"/>
        <v>49765.37</v>
      </c>
      <c r="G80" s="155">
        <v>49765.37</v>
      </c>
      <c r="H80" s="204"/>
      <c r="I80" s="222"/>
      <c r="J80" s="222"/>
      <c r="K80" s="222"/>
      <c r="L80" s="209"/>
      <c r="M80" s="216"/>
      <c r="N80" s="221">
        <f>O80+P80+Q80+R80+S80+T80+U80+V80+W80+X80-H80</f>
        <v>49765.37</v>
      </c>
      <c r="O80" s="202"/>
      <c r="P80" s="178"/>
      <c r="Q80" s="178"/>
      <c r="R80" s="178">
        <v>49765.37</v>
      </c>
      <c r="S80" s="178"/>
      <c r="T80" s="178"/>
      <c r="U80" s="178"/>
      <c r="V80" s="178"/>
      <c r="W80" s="178"/>
      <c r="X80" s="178"/>
      <c r="Y80" s="178"/>
      <c r="Z80" s="182">
        <f t="shared" si="16"/>
        <v>49765.37</v>
      </c>
      <c r="AA80" s="232">
        <f t="shared" si="14"/>
        <v>0</v>
      </c>
    </row>
    <row r="81" spans="1:27" s="131" customFormat="1" ht="37.5">
      <c r="A81" s="138"/>
      <c r="B81" s="138"/>
      <c r="C81" s="137" t="s">
        <v>188</v>
      </c>
      <c r="D81" s="155">
        <f t="shared" si="12"/>
        <v>109814.8</v>
      </c>
      <c r="E81" s="155"/>
      <c r="F81" s="155">
        <f t="shared" si="13"/>
        <v>109814.8</v>
      </c>
      <c r="G81" s="155">
        <v>109814.8</v>
      </c>
      <c r="H81" s="204"/>
      <c r="I81" s="222"/>
      <c r="J81" s="222"/>
      <c r="K81" s="222"/>
      <c r="L81" s="209"/>
      <c r="M81" s="216"/>
      <c r="N81" s="221">
        <f>O81+P81+Q81+R81+S81+T81+U81+V81+W81+X81-H81</f>
        <v>109814.8</v>
      </c>
      <c r="O81" s="202"/>
      <c r="P81" s="178"/>
      <c r="Q81" s="178"/>
      <c r="R81" s="178"/>
      <c r="S81" s="178">
        <v>90000</v>
      </c>
      <c r="T81" s="178">
        <v>19814.8</v>
      </c>
      <c r="U81" s="178"/>
      <c r="V81" s="178"/>
      <c r="W81" s="178"/>
      <c r="X81" s="178"/>
      <c r="Y81" s="178"/>
      <c r="Z81" s="182">
        <f t="shared" si="16"/>
        <v>109814.8</v>
      </c>
      <c r="AA81" s="232">
        <f t="shared" si="14"/>
        <v>0</v>
      </c>
    </row>
    <row r="82" spans="1:27" s="131" customFormat="1" ht="37.5">
      <c r="A82" s="138"/>
      <c r="B82" s="138"/>
      <c r="C82" s="137" t="s">
        <v>189</v>
      </c>
      <c r="D82" s="155">
        <f t="shared" si="12"/>
        <v>512059.78</v>
      </c>
      <c r="E82" s="155"/>
      <c r="F82" s="155">
        <f t="shared" si="13"/>
        <v>512059.78</v>
      </c>
      <c r="G82" s="155">
        <f>412059.78+100000</f>
        <v>512059.78</v>
      </c>
      <c r="H82" s="204">
        <f>200655.6</f>
        <v>200655.6</v>
      </c>
      <c r="I82" s="222"/>
      <c r="J82" s="222"/>
      <c r="K82" s="222"/>
      <c r="L82" s="209">
        <f t="shared" si="15"/>
        <v>39.18597160667452</v>
      </c>
      <c r="M82" s="216"/>
      <c r="N82" s="221">
        <f>O82+P82+Q82+R82+S82+T82+U82+V82+W82+X82-H82</f>
        <v>311404.18000000005</v>
      </c>
      <c r="O82" s="202"/>
      <c r="P82" s="178"/>
      <c r="Q82" s="178"/>
      <c r="R82" s="178">
        <v>100000</v>
      </c>
      <c r="S82" s="178">
        <v>200000</v>
      </c>
      <c r="T82" s="178">
        <v>112059.78</v>
      </c>
      <c r="U82" s="178"/>
      <c r="V82" s="178"/>
      <c r="W82" s="178"/>
      <c r="X82" s="178">
        <v>100000</v>
      </c>
      <c r="Y82" s="178"/>
      <c r="Z82" s="182">
        <f t="shared" si="16"/>
        <v>512059.78</v>
      </c>
      <c r="AA82" s="232">
        <f t="shared" si="14"/>
        <v>0</v>
      </c>
    </row>
    <row r="83" spans="1:27" s="131" customFormat="1" ht="37.5">
      <c r="A83" s="138"/>
      <c r="B83" s="138"/>
      <c r="C83" s="137" t="s">
        <v>190</v>
      </c>
      <c r="D83" s="155">
        <f t="shared" si="12"/>
        <v>134000</v>
      </c>
      <c r="E83" s="155"/>
      <c r="F83" s="155">
        <f t="shared" si="13"/>
        <v>134000</v>
      </c>
      <c r="G83" s="155">
        <v>134000</v>
      </c>
      <c r="H83" s="204">
        <f>4785.73+1033.3</f>
        <v>5819.03</v>
      </c>
      <c r="I83" s="222"/>
      <c r="J83" s="222"/>
      <c r="K83" s="222"/>
      <c r="L83" s="209">
        <f t="shared" si="15"/>
        <v>4.342559701492537</v>
      </c>
      <c r="M83" s="216"/>
      <c r="N83" s="221">
        <f>O83+P83+Q83+R83+S83+T83+U83+V83+W83+X83-H83</f>
        <v>128180.97</v>
      </c>
      <c r="O83" s="202"/>
      <c r="P83" s="178"/>
      <c r="Q83" s="178"/>
      <c r="R83" s="178"/>
      <c r="S83" s="178"/>
      <c r="T83" s="178">
        <v>30000</v>
      </c>
      <c r="U83" s="178">
        <v>50000</v>
      </c>
      <c r="V83" s="178">
        <v>54000</v>
      </c>
      <c r="W83" s="178"/>
      <c r="X83" s="178"/>
      <c r="Y83" s="178"/>
      <c r="Z83" s="182">
        <f t="shared" si="16"/>
        <v>134000</v>
      </c>
      <c r="AA83" s="232">
        <f t="shared" si="14"/>
        <v>0</v>
      </c>
    </row>
    <row r="84" spans="1:27" s="131" customFormat="1" ht="37.5" hidden="1">
      <c r="A84" s="138"/>
      <c r="B84" s="138"/>
      <c r="C84" s="137" t="s">
        <v>191</v>
      </c>
      <c r="D84" s="155">
        <f t="shared" si="12"/>
        <v>0</v>
      </c>
      <c r="E84" s="155"/>
      <c r="F84" s="155">
        <f t="shared" si="13"/>
        <v>0</v>
      </c>
      <c r="G84" s="155">
        <f>80000-80000</f>
        <v>0</v>
      </c>
      <c r="H84" s="204"/>
      <c r="I84" s="222"/>
      <c r="J84" s="222"/>
      <c r="K84" s="222"/>
      <c r="L84" s="209"/>
      <c r="M84" s="216"/>
      <c r="N84" s="221">
        <f>O84+P84+Q84+R84+S84+T84+U84+V84+W84+X84-H84</f>
        <v>0</v>
      </c>
      <c r="O84" s="202"/>
      <c r="P84" s="178"/>
      <c r="Q84" s="178"/>
      <c r="R84" s="178"/>
      <c r="S84" s="178">
        <v>80000</v>
      </c>
      <c r="T84" s="178"/>
      <c r="U84" s="178"/>
      <c r="V84" s="178"/>
      <c r="W84" s="178"/>
      <c r="X84" s="178">
        <v>-80000</v>
      </c>
      <c r="Y84" s="178"/>
      <c r="Z84" s="182">
        <f t="shared" si="16"/>
        <v>0</v>
      </c>
      <c r="AA84" s="232">
        <f t="shared" si="14"/>
        <v>0</v>
      </c>
    </row>
    <row r="85" spans="1:27" s="131" customFormat="1" ht="18.75">
      <c r="A85" s="138"/>
      <c r="B85" s="138"/>
      <c r="C85" s="137" t="s">
        <v>26</v>
      </c>
      <c r="D85" s="155">
        <f t="shared" si="12"/>
        <v>300000</v>
      </c>
      <c r="E85" s="155"/>
      <c r="F85" s="155">
        <f t="shared" si="13"/>
        <v>300000</v>
      </c>
      <c r="G85" s="155">
        <v>300000</v>
      </c>
      <c r="H85" s="204">
        <f>48143.1+5904</f>
        <v>54047.1</v>
      </c>
      <c r="I85" s="222"/>
      <c r="J85" s="222"/>
      <c r="K85" s="222"/>
      <c r="L85" s="209">
        <f t="shared" si="15"/>
        <v>18.0157</v>
      </c>
      <c r="M85" s="216"/>
      <c r="N85" s="221">
        <f>O85+P85+Q85+R85+S85+T85+U85+V85+W85+X85-H85</f>
        <v>245952.9</v>
      </c>
      <c r="O85" s="202"/>
      <c r="P85" s="178"/>
      <c r="Q85" s="178"/>
      <c r="R85" s="178"/>
      <c r="S85" s="178"/>
      <c r="T85" s="178">
        <v>100000</v>
      </c>
      <c r="U85" s="178">
        <v>100000</v>
      </c>
      <c r="V85" s="178">
        <v>100000</v>
      </c>
      <c r="W85" s="178"/>
      <c r="X85" s="178"/>
      <c r="Y85" s="178"/>
      <c r="Z85" s="182">
        <f t="shared" si="16"/>
        <v>300000</v>
      </c>
      <c r="AA85" s="232">
        <f t="shared" si="14"/>
        <v>0</v>
      </c>
    </row>
    <row r="86" spans="1:27" s="131" customFormat="1" ht="37.5">
      <c r="A86" s="138"/>
      <c r="B86" s="138"/>
      <c r="C86" s="137" t="s">
        <v>192</v>
      </c>
      <c r="D86" s="155">
        <f t="shared" si="12"/>
        <v>380000</v>
      </c>
      <c r="E86" s="155"/>
      <c r="F86" s="155">
        <f t="shared" si="13"/>
        <v>380000</v>
      </c>
      <c r="G86" s="155">
        <v>380000</v>
      </c>
      <c r="H86" s="204"/>
      <c r="I86" s="222"/>
      <c r="J86" s="222"/>
      <c r="K86" s="222"/>
      <c r="L86" s="209"/>
      <c r="M86" s="216"/>
      <c r="N86" s="221">
        <f>O86+P86+Q86+R86+S86+T86+U86+V86+W86+X86-H86</f>
        <v>380000</v>
      </c>
      <c r="O86" s="202"/>
      <c r="P86" s="178"/>
      <c r="Q86" s="178"/>
      <c r="R86" s="178"/>
      <c r="S86" s="178"/>
      <c r="T86" s="178">
        <v>50000</v>
      </c>
      <c r="U86" s="178">
        <v>110000</v>
      </c>
      <c r="V86" s="178">
        <v>110000</v>
      </c>
      <c r="W86" s="178">
        <v>110000</v>
      </c>
      <c r="X86" s="178"/>
      <c r="Y86" s="178"/>
      <c r="Z86" s="182">
        <f t="shared" si="16"/>
        <v>380000</v>
      </c>
      <c r="AA86" s="232">
        <f t="shared" si="14"/>
        <v>0</v>
      </c>
    </row>
    <row r="87" spans="1:26" ht="18.75">
      <c r="A87" s="164"/>
      <c r="B87" s="169"/>
      <c r="C87" s="165" t="s">
        <v>31</v>
      </c>
      <c r="D87" s="152">
        <f>D7+D43+D40</f>
        <v>77152104.61</v>
      </c>
      <c r="E87" s="152">
        <f>E7+E43+E40</f>
        <v>15350000</v>
      </c>
      <c r="F87" s="152">
        <f>F7+F43+F40</f>
        <v>61802104.61</v>
      </c>
      <c r="G87" s="152">
        <f>G7+G43+G40</f>
        <v>58123425.46</v>
      </c>
      <c r="H87" s="175">
        <f>H7+H43+H40</f>
        <v>32548238.33</v>
      </c>
      <c r="I87" s="175"/>
      <c r="J87" s="233"/>
      <c r="K87" s="233"/>
      <c r="L87" s="227">
        <f>H87/(O87+P87+Q87+R87+S87+T87+U87+V87+W87+X87)*100</f>
        <v>42.58990529017729</v>
      </c>
      <c r="M87" s="218"/>
      <c r="N87" s="220">
        <f>O87+P87+Q87+R87+S87+T87+U87+V87+W87+X87-H87</f>
        <v>43874186.44000001</v>
      </c>
      <c r="O87" s="192">
        <f aca="true" t="shared" si="17" ref="O87:X87">O7+O43+O40</f>
        <v>2859888.08</v>
      </c>
      <c r="P87" s="152">
        <f t="shared" si="17"/>
        <v>450000</v>
      </c>
      <c r="Q87" s="152">
        <f t="shared" si="17"/>
        <v>1900000</v>
      </c>
      <c r="R87" s="152">
        <f t="shared" si="17"/>
        <v>4546782.66</v>
      </c>
      <c r="S87" s="152">
        <f t="shared" si="17"/>
        <v>4961645.949999999</v>
      </c>
      <c r="T87" s="152">
        <f t="shared" si="17"/>
        <v>5508135.970000001</v>
      </c>
      <c r="U87" s="152">
        <f t="shared" si="17"/>
        <v>13867948.33</v>
      </c>
      <c r="V87" s="152">
        <f>V7+V43+V40</f>
        <v>26683527.07</v>
      </c>
      <c r="W87" s="152">
        <f t="shared" si="17"/>
        <v>13362261.21</v>
      </c>
      <c r="X87" s="152">
        <f t="shared" si="17"/>
        <v>2282235.5</v>
      </c>
      <c r="Y87" s="152">
        <f>Y7+Y43+Y40</f>
        <v>729679.8400000001</v>
      </c>
      <c r="Z87" s="152">
        <f>Z7+Z43+Z40</f>
        <v>77152104.61</v>
      </c>
    </row>
    <row r="88" spans="1:6" ht="18.75">
      <c r="A88" s="144"/>
      <c r="B88" s="139"/>
      <c r="C88" s="166"/>
      <c r="D88" s="167"/>
      <c r="E88" s="139"/>
      <c r="F88" s="139"/>
    </row>
    <row r="89" spans="1:6" ht="18.75">
      <c r="A89" s="139"/>
      <c r="B89" s="140"/>
      <c r="C89" s="141"/>
      <c r="D89" s="142"/>
      <c r="E89" s="140"/>
      <c r="F89" s="139"/>
    </row>
    <row r="90" spans="1:7" ht="33" customHeight="1">
      <c r="A90" s="273"/>
      <c r="B90" s="273"/>
      <c r="C90" s="273"/>
      <c r="D90" s="145"/>
      <c r="E90" s="145"/>
      <c r="F90" s="145"/>
      <c r="G90" s="145"/>
    </row>
  </sheetData>
  <sheetProtection/>
  <mergeCells count="15">
    <mergeCell ref="K4:K5"/>
    <mergeCell ref="L4:L5"/>
    <mergeCell ref="A6:L6"/>
    <mergeCell ref="J4:J5"/>
    <mergeCell ref="I4:I5"/>
    <mergeCell ref="A90:C90"/>
    <mergeCell ref="A1:H1"/>
    <mergeCell ref="A2:H2"/>
    <mergeCell ref="H4:H5"/>
    <mergeCell ref="E4:E5"/>
    <mergeCell ref="F4:F5"/>
    <mergeCell ref="A4:A5"/>
    <mergeCell ref="C4:C5"/>
    <mergeCell ref="D4:D5"/>
    <mergeCell ref="A39:L39"/>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2015-11-19T13:55:54Z</dcterms:modified>
  <cp:category/>
  <cp:version/>
  <cp:contentType/>
  <cp:contentStatus/>
</cp:coreProperties>
</file>